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2EqelOzyywYe1vmEH2TE9KmbWV7VBSnkYRfGrVztF+BKNUsTcgz+g1GgzieqtN7aw9d1XrQ9G+CUa0CQDOeXJw==" workbookSaltValue="KHzCJhnNbNPsSFxNz88La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E18" i="12"/>
  <c r="ER19" i="8"/>
  <c r="AE13" i="21"/>
  <c r="EL19" i="8"/>
  <c r="BE12" i="21"/>
  <c r="EQ19" i="8"/>
  <c r="EN19" i="8"/>
  <c r="E15" i="3"/>
  <c r="BA13" i="16"/>
  <c r="E17" i="3"/>
  <c r="E10" i="6"/>
  <c r="ES19" i="8"/>
  <c r="G18" i="12"/>
  <c r="C18" i="7"/>
  <c r="EP19" i="8"/>
  <c r="EP19" i="19"/>
  <c r="S13" i="16"/>
  <c r="P13" i="16"/>
  <c r="W13" i="20"/>
  <c r="M18" i="2"/>
  <c r="AO12" i="11"/>
  <c r="B12" i="6"/>
  <c r="H13" i="12"/>
  <c r="F13" i="7"/>
  <c r="AJ19" i="8"/>
  <c r="T13" i="16"/>
  <c r="BG15" i="8"/>
  <c r="BD9" i="8"/>
  <c r="AP13" i="16"/>
  <c r="F11" i="11"/>
  <c r="AQ11" i="11" s="1"/>
  <c r="T18" i="17"/>
  <c r="BF15" i="13"/>
  <c r="BE16" i="13"/>
  <c r="BF16" i="13"/>
  <c r="AK20" i="20"/>
  <c r="T20" i="20"/>
  <c r="O16" i="11"/>
  <c r="Z20" i="20"/>
  <c r="H20" i="20"/>
  <c r="G18" i="14"/>
  <c r="L19" i="8" l="1"/>
  <c r="I19" i="8"/>
  <c r="AG19" i="8"/>
  <c r="B13" i="7"/>
  <c r="AY13" i="8"/>
  <c r="BE15" i="13"/>
  <c r="R8" i="9"/>
  <c r="X12" i="17"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C19" i="17"/>
  <c r="BN18" i="16"/>
  <c r="BN19" i="16" s="1"/>
  <c r="F11" i="16"/>
  <c r="AH13" i="16"/>
  <c r="M13" i="2"/>
  <c r="AP15" i="11"/>
  <c r="AP11" i="11"/>
  <c r="H12" i="7"/>
  <c r="H12" i="2"/>
  <c r="J9" i="2"/>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L17" i="14"/>
  <c r="I12" i="7"/>
  <c r="F17" i="2"/>
  <c r="Z19" i="19"/>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W20" i="20"/>
  <c r="L20" i="20"/>
  <c r="U12" i="11"/>
  <c r="T20" i="21"/>
  <c r="U16" i="11"/>
  <c r="AX20" i="20"/>
  <c r="Y20" i="20"/>
  <c r="O10" i="11"/>
  <c r="AM20" i="20"/>
  <c r="Q20" i="20"/>
  <c r="AB20" i="20"/>
  <c r="AI20" i="20"/>
  <c r="AZ20" i="20"/>
  <c r="AV20" i="20"/>
  <c r="AU20" i="20"/>
  <c r="M20" i="20"/>
  <c r="AQ20" i="21"/>
  <c r="AP20" i="20"/>
  <c r="AH20" i="20"/>
  <c r="N20" i="20"/>
  <c r="AD20" i="20"/>
  <c r="AE20" i="20"/>
  <c r="AG20" i="20"/>
  <c r="U10" i="11"/>
  <c r="O20" i="20"/>
  <c r="X20" i="20"/>
  <c r="AJ20" i="20"/>
  <c r="E20" i="20"/>
  <c r="AF20" i="20"/>
  <c r="G13" i="14"/>
  <c r="F20" i="20"/>
  <c r="AA20" i="20"/>
  <c r="K20" i="20"/>
  <c r="P20" i="20"/>
  <c r="J20" i="20"/>
  <c r="S20" i="20"/>
  <c r="W20" i="21"/>
  <c r="I20" i="20"/>
  <c r="AB21" i="21" l="1"/>
  <c r="AO16" i="17"/>
  <c r="AM15" i="11"/>
  <c r="AO17" i="17"/>
  <c r="S16" i="17"/>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S19" i="16" s="1"/>
  <c r="Q9" i="11"/>
  <c r="AZ19" i="11"/>
  <c r="AZ13" i="11"/>
  <c r="R13" i="21"/>
  <c r="R19" i="21" s="1"/>
  <c r="BJ18" i="1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P20" i="16"/>
  <c r="E20" i="21"/>
  <c r="AN20" i="11"/>
  <c r="AM20" i="11"/>
  <c r="M20" i="21"/>
  <c r="K20" i="12"/>
  <c r="U20" i="17"/>
  <c r="V20" i="11"/>
  <c r="AS20" i="17"/>
  <c r="AB20" i="16"/>
  <c r="AT20" i="16"/>
  <c r="U20" i="21"/>
  <c r="I20" i="17"/>
  <c r="AG20" i="17"/>
  <c r="Z20" i="16"/>
  <c r="T20" i="11"/>
  <c r="L20" i="17"/>
  <c r="E20" i="11"/>
  <c r="U20" i="20"/>
  <c r="AC20" i="16"/>
  <c r="AI20" i="21"/>
  <c r="AR20" i="20"/>
  <c r="AL20" i="11"/>
  <c r="F20" i="12"/>
  <c r="F20" i="11"/>
  <c r="I20" i="16"/>
  <c r="O20" i="11"/>
  <c r="BF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M20" i="21"/>
  <c r="F20" i="16"/>
  <c r="T20" i="16"/>
  <c r="AJ20" i="21"/>
  <c r="AD20" i="11"/>
  <c r="Q20" i="16"/>
  <c r="AA20" i="16"/>
  <c r="K20" i="11"/>
  <c r="I20" i="11"/>
  <c r="O20" i="21"/>
  <c r="AH20" i="16"/>
  <c r="AJ20" i="11"/>
  <c r="AN20" i="21"/>
  <c r="AT20" i="17"/>
  <c r="BA20" i="16"/>
  <c r="BJ20" i="16"/>
  <c r="Y20" i="21"/>
  <c r="AK20" i="16"/>
  <c r="O20" i="16"/>
  <c r="W20" i="16"/>
  <c r="E20" i="12"/>
  <c r="AX20" i="16"/>
  <c r="N20" i="17"/>
  <c r="E20" i="17"/>
  <c r="AD20" i="17"/>
  <c r="L20" i="11"/>
  <c r="X20" i="16"/>
  <c r="AM20" i="16"/>
  <c r="AB20" i="17"/>
  <c r="S20" i="11"/>
  <c r="AM20" i="17"/>
  <c r="AI20" i="16"/>
  <c r="N20" i="11"/>
  <c r="U20" i="16"/>
  <c r="W20" i="11"/>
  <c r="AO20" i="21"/>
  <c r="AI20" i="11"/>
  <c r="AT20" i="21" l="1"/>
  <c r="AP20" i="11"/>
  <c r="BL20" i="16"/>
  <c r="AQ20" i="17"/>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<sst xmlns="http://schemas.openxmlformats.org/spreadsheetml/2006/main" count="2094" uniqueCount="914">
  <si>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</si>
  <si>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</si>
  <si>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</si>
  <si>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</si>
  <si>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</si>
  <si>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</si>
  <si>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</si>
  <si>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</si>
  <si>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</si>
  <si>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</si>
  <si>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</si>
  <si>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</si>
  <si>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</si>
  <si>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</si>
  <si>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</si>
  <si>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</si>
  <si>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</si>
  <si>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</si>
  <si>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</si>
  <si>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</si>
  <si>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</si>
  <si>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</si>
  <si>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</si>
  <si>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</si>
  <si>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</si>
  <si>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</si>
  <si>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</si>
  <si>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</si>
  <si>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</si>
  <si>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</si>
  <si>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</si>
  <si>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</si>
  <si>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</si>
  <si>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</si>
  <si>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</si>
  <si>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</si>
  <si>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</si>
  <si>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</si>
  <si>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</si>
  <si>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</si>
  <si>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</si>
  <si>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</si>
  <si>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</si>
  <si>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</si>
  <si>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</si>
  <si>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</si>
  <si>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</si>
  <si>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</si>
  <si>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</si>
  <si>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</si>
  <si>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</si>
  <si>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</si>
  <si>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</si>
  <si>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</si>
  <si>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</si>
  <si>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</si>
  <si>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</si>
  <si>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</si>
  <si>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</si>
  <si>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</si>
  <si>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</si>
  <si>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</si>
  <si>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</si>
  <si>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</si>
  <si>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</si>
  <si>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</si>
  <si>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</si>
  <si>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</si>
  <si>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</si>
  <si>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</si>
  <si>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</si>
  <si>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</si>
  <si>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</si>
  <si>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</si>
  <si>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</si>
  <si>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</si>
  <si>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</si>
  <si>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</si>
  <si>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</si>
  <si>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</si>
  <si>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</si>
  <si>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</si>
  <si>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</si>
  <si>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</si>
  <si>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</si>
  <si>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</si>
  <si>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</si>
  <si>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</si>
  <si>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</si>
  <si>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</si>
  <si>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</si>
  <si>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</si>
  <si>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</si>
  <si>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</si>
  <si>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</si>
  <si>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</si>
  <si>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</si>
  <si>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</si>
  <si>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</si>
  <si>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</si>
  <si>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</si>
  <si>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</si>
  <si>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</si>
  <si>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</si>
  <si>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</si>
  <si>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</si>
  <si>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</si>
  <si>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</si>
  <si>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</si>
  <si>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</si>
  <si>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</si>
  <si>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</si>
  <si>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</si>
  <si>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</si>
  <si>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</si>
  <si>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</si>
  <si>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</si>
  <si>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</si>
  <si>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</si>
  <si>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</si>
  <si>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</si>
  <si>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</si>
  <si>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</si>
  <si>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</si>
  <si>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</si>
  <si>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</si>
  <si>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</si>
  <si>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</si>
  <si>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</si>
  <si>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</si>
  <si>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</si>
  <si>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</si>
  <si>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</si>
  <si>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</si>
  <si>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</si>
  <si>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</si>
  <si>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</si>
  <si>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</si>
  <si>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</si>
  <si>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</si>
  <si>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</si>
  <si>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</si>
  <si>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</si>
  <si>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</si>
  <si>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</si>
  <si>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</si>
  <si>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</si>
  <si>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</si>
  <si>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</si>
  <si>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</si>
  <si>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</si>
  <si>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</si>
  <si>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</si>
  <si>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</si>
  <si>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</si>
  <si>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</si>
  <si>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</si>
  <si>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</si>
  <si>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</si>
  <si>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</si>
  <si>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</si>
  <si>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</si>
  <si>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</si>
  <si>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</si>
  <si>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</si>
  <si>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</si>
  <si>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</si>
  <si>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</si>
  <si>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</si>
  <si>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</si>
  <si>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</si>
  <si>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</si>
  <si>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</si>
  <si>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</si>
  <si>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</si>
  <si>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</si>
  <si>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</si>
  <si>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</si>
  <si>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</si>
  <si>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</si>
  <si>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</si>
  <si>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</si>
  <si>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</si>
  <si>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</si>
  <si>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</si>
  <si>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</si>
  <si>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</si>
  <si>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</si>
  <si>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</si>
  <si>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</si>
  <si>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</si>
  <si>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</si>
  <si>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</si>
  <si>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</si>
  <si>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</si>
  <si>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</si>
  <si>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</si>
  <si>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</si>
  <si>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</si>
  <si>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</si>
  <si>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</si>
  <si>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</si>
  <si>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</si>
  <si>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</si>
  <si>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</si>
  <si>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</si>
  <si>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</si>
  <si>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</si>
  <si>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</si>
  <si>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</si>
  <si>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</si>
  <si>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</si>
  <si>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</si>
  <si>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</si>
  <si>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</si>
  <si>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</si>
  <si>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</si>
  <si>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</si>
  <si>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</si>
  <si>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</si>
  <si>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</si>
  <si>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</si>
  <si>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</si>
  <si>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</si>
  <si>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</si>
  <si>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</si>
  <si>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</si>
  <si>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</si>
  <si>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</si>
  <si>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</si>
  <si>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</si>
  <si>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</si>
  <si>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</si>
  <si>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</si>
  <si>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</si>
  <si>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</si>
  <si>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</si>
  <si>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</si>
  <si>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</si>
  <si>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</si>
  <si>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</si>
  <si>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</si>
  <si>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</si>
  <si>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</si>
  <si>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</si>
  <si>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</si>
  <si>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</si>
  <si>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</si>
  <si>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</si>
  <si>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</si>
  <si>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</si>
  <si>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</si>
  <si>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</si>
  <si>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</si>
  <si>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</si>
  <si>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</si>
  <si>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</si>
  <si>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</si>
  <si>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</si>
  <si>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</si>
  <si>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</si>
  <si>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</si>
  <si>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</si>
  <si>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</si>
  <si>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</si>
  <si>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</si>
  <si>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</si>
  <si>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</si>
  <si>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</si>
  <si>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</si>
  <si>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</si>
  <si>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</si>
  <si>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</si>
  <si>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</si>
  <si>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</si>
  <si>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</si>
  <si>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</si>
  <si>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</si>
  <si>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</si>
  <si>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</si>
  <si>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</si>
  <si>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</si>
  <si>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</si>
  <si>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</si>
  <si>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</si>
  <si>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</si>
  <si>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</si>
  <si>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</si>
  <si>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</si>
  <si>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</si>
  <si>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</si>
  <si>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</si>
  <si>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</si>
  <si>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</si>
  <si>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</si>
  <si>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</si>
  <si>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</si>
  <si>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</si>
  <si>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</si>
  <si>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</si>
  <si>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</si>
  <si>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</si>
  <si>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</si>
  <si>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</si>
  <si>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</si>
  <si>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</si>
  <si>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</si>
  <si>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</si>
  <si>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</si>
  <si>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</si>
  <si>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</si>
  <si>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</si>
  <si>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</si>
  <si>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</si>
  <si>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</si>
  <si>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</si>
  <si>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</si>
  <si>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</si>
  <si>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</si>
  <si>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</si>
  <si>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</si>
  <si>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</si>
  <si>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</si>
  <si>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</si>
  <si>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</si>
  <si>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</si>
  <si>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</si>
  <si>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</si>
  <si>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</si>
  <si>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</si>
  <si>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</si>
  <si>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</si>
  <si>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</si>
  <si>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</si>
  <si>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</si>
  <si>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</si>
  <si>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</si>
  <si>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</si>
  <si>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</si>
  <si>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</si>
  <si>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</si>
  <si>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</si>
  <si>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</si>
  <si>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</si>
  <si>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</si>
  <si>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</si>
  <si>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</si>
  <si>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</si>
  <si>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</si>
  <si>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</si>
  <si>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</si>
  <si>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</si>
  <si>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</si>
  <si>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</si>
  <si>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</si>
  <si>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</si>
  <si>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</si>
  <si>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</si>
  <si>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</si>
  <si>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</si>
  <si>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</si>
  <si>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</si>
  <si>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</si>
  <si>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</si>
  <si>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</si>
  <si>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</si>
  <si>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</si>
  <si>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</si>
  <si>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</si>
  <si>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</si>
  <si>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</si>
  <si>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</si>
  <si>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</si>
  <si>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</si>
  <si>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</si>
  <si>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</si>
  <si>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</si>
  <si>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</si>
  <si>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</si>
  <si>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</si>
  <si>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</si>
  <si>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</si>
  <si>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</si>
  <si>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</si>
  <si>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</si>
  <si>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</si>
  <si>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</si>
  <si>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</si>
  <si>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</si>
  <si>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</si>
  <si>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</si>
  <si>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</si>
  <si>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</si>
  <si>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</si>
  <si>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</si>
  <si>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</si>
  <si>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</si>
  <si>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</si>
  <si>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</si>
  <si>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</si>
  <si>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</si>
  <si>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</si>
  <si>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</si>
  <si>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</si>
  <si>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</si>
  <si>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</si>
  <si>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</si>
  <si>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</si>
  <si>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</si>
  <si>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</si>
  <si>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</si>
  <si>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</si>
  <si>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</si>
  <si>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</si>
  <si>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</si>
  <si>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</si>
  <si>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</si>
  <si>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</si>
  <si>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</si>
  <si>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</si>
  <si>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</si>
  <si>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</si>
  <si>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</si>
  <si>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</si>
  <si>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</si>
  <si>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</si>
  <si>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</si>
  <si>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</si>
  <si>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</si>
  <si>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</si>
  <si>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</si>
  <si>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</si>
  <si>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</si>
  <si>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</si>
  <si>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</si>
  <si>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</si>
  <si>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</si>
  <si>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</si>
  <si>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</si>
  <si>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</si>
  <si>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</si>
  <si>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</si>
  <si>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</si>
  <si>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</si>
  <si>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</si>
  <si>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</si>
  <si>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</si>
  <si>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</si>
  <si>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</si>
  <si>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</si>
  <si>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</si>
  <si>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</si>
  <si>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</si>
  <si>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</si>
  <si>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</si>
  <si>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</si>
  <si>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</si>
  <si>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</si>
  <si>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</si>
  <si>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</si>
  <si>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</si>
  <si>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</si>
  <si>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</si>
  <si>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</si>
  <si>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</si>
  <si>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</si>
  <si>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</si>
  <si>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</si>
  <si>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</si>
  <si>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</si>
  <si>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</si>
  <si>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</si>
  <si>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</si>
  <si>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</si>
  <si>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</si>
  <si>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</si>
  <si>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</si>
  <si>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</si>
  <si>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</si>
  <si>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</si>
  <si>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</si>
  <si>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</si>
  <si>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</si>
  <si>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</si>
  <si>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</si>
  <si>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</si>
  <si>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</si>
  <si>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</si>
  <si>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</si>
  <si>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</si>
  <si>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</si>
  <si>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</si>
  <si>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</si>
  <si>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</si>
  <si>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</si>
  <si>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</si>
  <si>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</si>
  <si>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</si>
  <si>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</si>
  <si>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</si>
  <si>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</si>
  <si>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</si>
  <si>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</si>
  <si>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</si>
  <si>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</si>
  <si>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</si>
  <si>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</si>
  <si>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</si>
  <si>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</si>
  <si>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</si>
  <si>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</si>
  <si>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</si>
  <si>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</si>
  <si>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</si>
  <si>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</si>
  <si>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</si>
  <si>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</si>
  <si>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</si>
  <si>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</si>
  <si>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</si>
  <si>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</si>
  <si>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</si>
  <si>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</si>
  <si>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</si>
  <si>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</si>
  <si>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</si>
  <si>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</si>
  <si>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</si>
  <si>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</si>
  <si>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</si>
  <si>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</si>
  <si>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</si>
  <si>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</si>
  <si>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</si>
  <si>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</si>
  <si>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</si>
  <si>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</si>
  <si>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</si>
  <si>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</si>
  <si>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</si>
  <si>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</si>
  <si>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</si>
  <si>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</si>
  <si>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</si>
  <si>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</si>
  <si>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</si>
  <si>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</si>
  <si>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</si>
  <si>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</si>
  <si>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</si>
  <si>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</si>
  <si>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</si>
  <si>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</si>
  <si>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</si>
  <si>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</si>
  <si>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</si>
  <si>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</si>
  <si>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</si>
  <si>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</si>
  <si>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</si>
  <si>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</si>
  <si>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</si>
  <si>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</si>
  <si>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</si>
  <si>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</si>
  <si>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</si>
  <si>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</si>
  <si>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</si>
  <si>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</si>
  <si>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</si>
  <si>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</si>
  <si>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</si>
  <si>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</si>
  <si>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</si>
  <si>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</si>
  <si>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</si>
  <si>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</si>
  <si>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</si>
  <si>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</si>
  <si>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</si>
  <si>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</si>
  <si>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</si>
  <si>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</si>
  <si>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</si>
  <si>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</si>
  <si>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</si>
  <si>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</si>
  <si>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</si>
  <si>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</si>
  <si>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</si>
  <si>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</si>
  <si>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</si>
  <si>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</si>
  <si>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</si>
  <si>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</si>
  <si>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</si>
  <si>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</si>
  <si>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</si>
  <si>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</si>
  <si>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</si>
  <si>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</si>
  <si>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</si>
  <si>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</si>
  <si>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</si>
  <si>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</si>
  <si>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</si>
  <si>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</si>
  <si>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</si>
  <si>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</si>
  <si>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</si>
  <si>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</si>
  <si>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</si>
  <si>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</si>
  <si>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</si>
  <si>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</si>
  <si>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</si>
  <si>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</si>
  <si>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</si>
  <si>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</si>
  <si>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</si>
  <si>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</si>
  <si>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</si>
  <si>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</si>
  <si>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</si>
  <si>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</si>
  <si>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</si>
  <si>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</si>
  <si>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</si>
  <si>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</si>
  <si>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</si>
  <si>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</si>
  <si>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</si>
  <si>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</si>
  <si>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</si>
  <si>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</si>
  <si>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</si>
  <si>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</si>
  <si>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</si>
  <si>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</si>
  <si>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</si>
  <si>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</si>
  <si>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</si>
  <si>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</si>
  <si>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</si>
  <si>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</si>
  <si>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</si>
  <si>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</si>
  <si>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</si>
  <si>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</si>
  <si>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</si>
  <si>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</si>
  <si>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</si>
  <si>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</si>
  <si>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</si>
  <si>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</si>
  <si>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</si>
  <si>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</si>
  <si>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</si>
  <si>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</si>
  <si>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</si>
  <si>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</si>
  <si>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</si>
  <si>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</si>
  <si>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</si>
  <si>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</si>
  <si>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</si>
  <si>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</si>
  <si>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</si>
  <si>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</si>
  <si>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</si>
  <si>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</si>
  <si>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</si>
  <si>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</si>
  <si>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</si>
  <si>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</si>
  <si>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</si>
  <si>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</si>
  <si>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</si>
  <si>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</si>
  <si>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</si>
  <si>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</si>
  <si>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</si>
  <si>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</si>
  <si>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</si>
  <si>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</si>
  <si>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</si>
  <si>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</si>
  <si>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</si>
  <si>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</si>
  <si>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</si>
  <si>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</si>
  <si>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</si>
  <si>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</si>
  <si>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</si>
  <si>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</si>
  <si>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</si>
  <si>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</si>
  <si>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</si>
  <si>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</si>
  <si>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</si>
  <si>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</si>
  <si>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</si>
  <si>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</si>
  <si>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</si>
  <si>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</si>
  <si>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</si>
  <si>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</si>
  <si>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</si>
  <si>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</si>
  <si>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</si>
  <si>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</si>
  <si>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</si>
  <si>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</si>
  <si>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</si>
  <si>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</si>
  <si>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</si>
  <si>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</si>
  <si>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</si>
  <si>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</si>
  <si>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</si>
  <si>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</si>
  <si>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</si>
  <si>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</si>
  <si>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</si>
  <si>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</si>
  <si>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</si>
  <si>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</si>
  <si>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</si>
  <si>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</si>
  <si>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</si>
  <si>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</si>
  <si>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</si>
  <si>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</si>
  <si>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</si>
  <si>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</si>
  <si>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</si>
  <si>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</si>
  <si>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</si>
  <si>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</si>
  <si>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</si>
  <si>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</si>
  <si>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</si>
  <si>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</si>
  <si>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</si>
  <si>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</si>
  <si>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</si>
  <si>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</si>
  <si>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</si>
  <si>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</si>
  <si>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</si>
  <si>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</si>
  <si>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</si>
  <si>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</si>
  <si>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</si>
  <si>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</si>
  <si>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</si>
  <si>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</si>
  <si>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</si>
  <si>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</si>
  <si>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</si>
  <si>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</si>
  <si>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</si>
  <si>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</si>
  <si>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</si>
  <si>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</si>
  <si>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</si>
  <si>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</si>
  <si>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</si>
  <si>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</si>
  <si>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</si>
  <si>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</si>
  <si>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</si>
  <si>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</si>
  <si>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</si>
  <si>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</si>
  <si>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</si>
  <si>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</si>
  <si>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</si>
  <si>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</si>
  <si>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</si>
  <si>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</si>
  <si>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</si>
  <si>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</si>
  <si>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</si>
  <si>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</si>
  <si>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</si>
  <si>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</si>
  <si>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</si>
  <si>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</si>
  <si>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</si>
  <si>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</si>
  <si>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</si>
  <si>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</si>
  <si>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</si>
  <si>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</si>
  <si>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</si>
  <si>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</si>
  <si>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</si>
  <si>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</si>
  <si>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</si>
  <si>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</si>
  <si>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</si>
  <si>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</si>
  <si>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</si>
  <si>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</si>
  <si>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</si>
  <si>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</si>
  <si>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</si>
  <si>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</si>
  <si>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</si>
  <si>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</si>
  <si>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</si>
  <si>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</si>
  <si>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</si>
  <si>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</si>
  <si>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</si>
  <si>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</si>
  <si>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</si>
  <si>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</si>
  <si>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</si>
  <si>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</si>
  <si>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</si>
  <si>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</si>
  <si>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</si>
  <si>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</si>
  <si>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</si>
  <si>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</si>
  <si>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</si>
  <si>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</si>
  <si>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</si>
  <si>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</si>
  <si>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</si>
  <si>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</si>
  <si>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</si>
  <si>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</si>
  <si>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</si>
  <si>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</si>
  <si>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</si>
  <si>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</si>
  <si>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</si>
  <si>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</si>
  <si>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</si>
  <si>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</si>
  <si>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</si>
  <si>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</si>
  <si>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</si>
  <si>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</si>
  <si>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</si>
  <si>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</si>
  <si>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</si>
  <si>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</si>
  <si>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</si>
  <si>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</si>
  <si>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</si>
  <si>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</si>
  <si>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</si>
  <si>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</si>
  <si>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</si>
  <si>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</si>
  <si>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</si>
  <si>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</si>
  <si>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</si>
  <si>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</si>
  <si>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</si>
  <si>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</si>
  <si>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</si>
  <si>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</si>
  <si>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</si>
  <si>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</si>
  <si>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</si>
  <si>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</si>
  <si>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</si>
  <si>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</si>
  <si>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</si>
  <si>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</si>
  <si>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</si>
  <si>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</si>
  <si>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</si>
  <si>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</si>
  <si>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</si>
  <si>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</si>
  <si>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</si>
  <si>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</si>
  <si>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</si>
  <si>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</si>
  <si>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</si>
  <si>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</si>
  <si>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</si>
  <si>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</si>
  <si>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</si>
  <si>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</si>
  <si>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</si>
  <si>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</si>
  <si>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</si>
  <si>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</si>
  <si>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</si>
  <si>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</si>
  <si>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</si>
  <si>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</si>
  <si>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</si>
  <si>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</si>
  <si>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</si>
  <si>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</si>
  <si>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</si>
  <si>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</si>
  <si>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</si>
  <si>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</si>
  <si>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</si>
  <si>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</si>
  <si>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</si>
  <si>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</si>
  <si>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</si>
  <si>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</si>
  <si>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ESPLUGUES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</si>
</sst>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lVeINF+06PllRHCBNR6RBYjx3gRL9AWLDUv9W39dYWggBoiMuMd4yty/ZGlVNrJCzCHdNwT7c9dJEiuQbbc+g==" saltValue="TV/C+MwUPEO0UAoTqq77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34</v>
      </c>
      <c r="D10" s="225">
        <f>IF(ISNUMBER(Datos!I10),Datos!I10," - ")</f>
        <v>34</v>
      </c>
      <c r="E10" s="226">
        <f>IF(ISNUMBER(Datos!J10),Datos!J10," - ")</f>
        <v>8</v>
      </c>
      <c r="F10" s="226">
        <f>IF(ISNUMBER(Datos!K10),Datos!K10," - ")</f>
        <v>10</v>
      </c>
      <c r="G10" s="1034" t="str">
        <f>IF(Datos!E10&lt;&gt;"",Datos!E10,Datos!D10)</f>
        <v>37</v>
      </c>
      <c r="H10" s="227">
        <f>IF(ISNUMBER(Datos!L10),Datos!L10," - ")</f>
        <v>32</v>
      </c>
      <c r="I10" s="1044" t="str">
        <f>IF(ISNUMBER(Datos!AS10/Datos!BM10),Datos!AS10/Datos!BM10," - ")</f>
        <v xml:space="preserve"> - </v>
      </c>
      <c r="J10" s="1045">
        <f>IF(ISNUMBER(Datos!BY10/Datos!CN10),Datos!BY10/Datos!CN10," - ")</f>
        <v>0</v>
      </c>
      <c r="K10" s="230">
        <f t="shared" ref="K10:K12" si="1">IF(ISNUMBER((E10-F10)/C10),(E10-F10)/C10," - ")</f>
        <v>-5.8823529411764705E-2</v>
      </c>
      <c r="L10" s="1025">
        <f>IF(ISNUMBER(NºAsuntos!I10/NºAsuntos!G10),(NºAsuntos!I10/NºAsuntos!G10)*11," - ")</f>
        <v>35.200000000000003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22.94747899159664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34</v>
      </c>
      <c r="D13" s="1049">
        <f>SUBTOTAL(9,D9:D12)</f>
        <v>34</v>
      </c>
      <c r="E13" s="1050">
        <f>SUBTOTAL(9,E9:E12)</f>
        <v>8</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1020</v>
      </c>
      <c r="D16" s="225">
        <f>IF(ISNUMBER(IF(D_I="SI",Datos!I16,Datos!I16+Datos!AC16)),IF(D_I="SI",Datos!I16,Datos!I16+Datos!AC16)," - ")</f>
        <v>1005</v>
      </c>
      <c r="E16" s="226">
        <f>IF(ISNUMBER(IF(D_I="SI",Datos!J16,Datos!J16+Datos!AD16)),IF(D_I="SI",Datos!J16,Datos!J16+Datos!AD16)," - ")</f>
        <v>986</v>
      </c>
      <c r="F16" s="226">
        <f>IF(ISNUMBER(IF(D_I="SI",Datos!K16,Datos!K16+Datos!AE16)),IF(D_I="SI",Datos!K16,Datos!K16+Datos!AE16)," - ")</f>
        <v>918</v>
      </c>
      <c r="G16" s="1034" t="str">
        <f>IF(Datos!E16&lt;&gt;"",Datos!E16,Datos!D16)</f>
        <v>04</v>
      </c>
      <c r="H16" s="227">
        <f>IF(ISNUMBER(IF(D_I="SI",Datos!L16,Datos!L16+Datos!AF16)),IF(D_I="SI",Datos!L16,Datos!L16+Datos!AF16)," - ")</f>
        <v>1088</v>
      </c>
      <c r="I16" s="1044" t="str">
        <f>IF(ISNUMBER(Datos!AS16/Datos!BM16),Datos!AS16/Datos!BM16," - ")</f>
        <v xml:space="preserve"> - </v>
      </c>
      <c r="J16" s="1045">
        <f>IF(ISNUMBER(Datos!BY16/Datos!CN16),Datos!BY16/Datos!CN16," - ")</f>
        <v>0</v>
      </c>
      <c r="K16" s="230">
        <f t="shared" si="3"/>
        <v>6.6666666666666666E-2</v>
      </c>
      <c r="L16" s="1025">
        <f>IF(ISNUMBER(NºAsuntos!I16/NºAsuntos!G16),(NºAsuntos!I16/NºAsuntos!G16)*11," - ")</f>
        <v>13.037037037037036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202</v>
      </c>
      <c r="D17" s="225">
        <f>IF(ISNUMBER(IF(D_I="SI",Datos!I17,Datos!I17+Datos!AC17)),IF(D_I="SI",Datos!I17,Datos!I17+Datos!AC17)," - ")</f>
        <v>202</v>
      </c>
      <c r="E17" s="226">
        <f>IF(ISNUMBER(IF(D_I="SI",Datos!J17,Datos!J17+Datos!AD17)),IF(D_I="SI",Datos!J17,Datos!J17+Datos!AD17)," - ")</f>
        <v>53</v>
      </c>
      <c r="F17" s="226">
        <f>IF(ISNUMBER(IF(D_I="SI",Datos!K17,Datos!K17+Datos!AE17)),IF(D_I="SI",Datos!K17,Datos!K17+Datos!AE17)," - ")</f>
        <v>54</v>
      </c>
      <c r="G17" s="1034" t="str">
        <f>IF(Datos!E17&lt;&gt;"",Datos!E17,Datos!D17)</f>
        <v>37</v>
      </c>
      <c r="H17" s="227">
        <f>IF(ISNUMBER(IF(D_I="SI",Datos!L17,Datos!L17+Datos!AF17)),IF(D_I="SI",Datos!L17,Datos!L17+Datos!AF17)," - ")</f>
        <v>201</v>
      </c>
      <c r="I17" s="1044" t="str">
        <f>IF(ISNUMBER(Datos!AS17/Datos!BM17),Datos!AS17/Datos!BM17," - ")</f>
        <v xml:space="preserve"> - </v>
      </c>
      <c r="J17" s="1045" t="str">
        <f>IF(ISNUMBER((Datos!BY17+Datos!BZ17)/Datos!CN17),(Datos!BY17+Datos!BZ17)/Datos!CN17," - ")</f>
        <v xml:space="preserve"> - </v>
      </c>
      <c r="K17" s="230">
        <f t="shared" si="3"/>
        <v>-4.9504950495049506E-3</v>
      </c>
      <c r="L17" s="1025">
        <f>IF(ISNUMBER(NºAsuntos!I17/NºAsuntos!G17),(NºAsuntos!I17/NºAsuntos!G17)*11," - ")</f>
        <v>40.944444444444443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1222</v>
      </c>
      <c r="D18" s="1049">
        <f>SUBTOTAL(9,D15:D17)</f>
        <v>1207</v>
      </c>
      <c r="E18" s="1050">
        <f>SUBTOTAL(9,E15:E17)</f>
        <v>1039</v>
      </c>
      <c r="F18" s="1050">
        <f>SUBTOTAL(9,F15:F17)</f>
        <v>972</v>
      </c>
      <c r="G18" s="1052" t="str">
        <f ca="1">INDIRECT(CONCATENATE("G",ROW()-1))</f>
        <v>37</v>
      </c>
      <c r="H18" s="1053">
        <f ca="1">SUMIF(G$14:G17,G18,H$14:H17)</f>
        <v>201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1256</v>
      </c>
      <c r="D19" s="1071">
        <f>SUBTOTAL(9,D9:D18)</f>
        <v>1241</v>
      </c>
      <c r="E19" s="1072">
        <f>SUBTOTAL(9,E9:E18)</f>
        <v>1047</v>
      </c>
      <c r="F19" s="1072">
        <f>SUBTOTAL(9,F9:F18)</f>
        <v>982</v>
      </c>
      <c r="G19" s="1073"/>
      <c r="H19" s="1074">
        <f ca="1">SUMIF(B9:B18,"TOTAL",H9:H18)</f>
        <v>201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UUvo576Q500DG7jDSP//GNMh4q9MCnjV/RCk20o3hAkL72xwjzS7Vzjr9WD3K1c/jpxyQ6WHH76qGuVPnUPKPg==" saltValue="I6mieofVBaFQOnge2x74C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2HdBasZrK2/VuGK/QROpvluW2oodrd1KxyKAoEkfevSOy1UJy4WEzIxWCELpdGPlE/KMetM00dwT/1DlkjjGBQ==" saltValue="VqnlzTwGYpGXVcWjKvb2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34</v>
      </c>
      <c r="J10" s="181">
        <v>8</v>
      </c>
      <c r="K10" s="181">
        <v>10</v>
      </c>
      <c r="L10" s="181">
        <v>32</v>
      </c>
      <c r="M10" s="181">
        <v>3</v>
      </c>
      <c r="N10" s="181">
        <v>1</v>
      </c>
      <c r="O10" s="181">
        <v>2</v>
      </c>
      <c r="P10" s="181">
        <v>0</v>
      </c>
      <c r="Q10" s="181">
        <v>1</v>
      </c>
      <c r="R10" s="181">
        <v>8</v>
      </c>
      <c r="S10" s="181">
        <v>30</v>
      </c>
      <c r="T10" s="181">
        <v>5</v>
      </c>
      <c r="U10" s="181">
        <v>6</v>
      </c>
      <c r="V10" s="181">
        <v>29</v>
      </c>
      <c r="W10" s="181">
        <v>4</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30</v>
      </c>
      <c r="AZ10" s="129">
        <f t="shared" si="0"/>
        <v>5</v>
      </c>
      <c r="BA10" s="129">
        <f t="shared" si="0"/>
        <v>6</v>
      </c>
      <c r="BB10" s="129">
        <f t="shared" si="0"/>
        <v>29</v>
      </c>
      <c r="BC10" s="125">
        <f t="shared" si="0"/>
        <v>4</v>
      </c>
      <c r="BD10" s="126">
        <f>IF(ISNUMBER(BA10/AZ10),BA10/AZ10," - ")</f>
        <v>1.2</v>
      </c>
      <c r="BE10" s="127">
        <f>IF(ISNUMBER(BB10/BA10),BB10/BA10, " - ")</f>
        <v>4.833333333333333</v>
      </c>
      <c r="BF10" s="127">
        <f>IF(ISNUMBER(BC10/BA10),BC10/BA10, " - ")</f>
        <v>0.66666666666666663</v>
      </c>
      <c r="BG10" s="196">
        <f>IF(ISNUMBER((AY10+AZ10)/BA10),(AY10+AZ10)/BA10," - ")</f>
        <v>5.833333333333333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1974</v>
      </c>
      <c r="J12" s="183">
        <v>718</v>
      </c>
      <c r="K12" s="183">
        <v>775</v>
      </c>
      <c r="L12" s="183">
        <v>1917</v>
      </c>
      <c r="M12" s="183">
        <v>144</v>
      </c>
      <c r="N12" s="183">
        <v>425</v>
      </c>
      <c r="O12" s="181">
        <v>366</v>
      </c>
      <c r="P12" s="183">
        <v>101</v>
      </c>
      <c r="Q12" s="183">
        <v>111</v>
      </c>
      <c r="R12" s="183">
        <v>2325</v>
      </c>
      <c r="S12" s="183">
        <v>1678</v>
      </c>
      <c r="T12" s="183">
        <v>830</v>
      </c>
      <c r="U12" s="183">
        <v>736</v>
      </c>
      <c r="V12" s="183">
        <v>1772</v>
      </c>
      <c r="W12" s="183">
        <v>182</v>
      </c>
      <c r="X12" s="189">
        <v>445</v>
      </c>
      <c r="Y12" s="191">
        <v>73</v>
      </c>
      <c r="Z12" s="181">
        <v>173</v>
      </c>
      <c r="AA12" s="181">
        <v>177</v>
      </c>
      <c r="AB12" s="181">
        <v>69</v>
      </c>
      <c r="AC12" s="183">
        <v>0</v>
      </c>
      <c r="AD12" s="183">
        <v>0</v>
      </c>
      <c r="AE12" s="183">
        <v>0</v>
      </c>
      <c r="AF12" s="189">
        <v>0</v>
      </c>
      <c r="AG12" s="202">
        <v>28</v>
      </c>
      <c r="AH12" s="183">
        <v>209</v>
      </c>
      <c r="AI12" s="183">
        <v>181</v>
      </c>
      <c r="AJ12" s="203">
        <v>56</v>
      </c>
      <c r="AK12" s="182">
        <v>0</v>
      </c>
      <c r="AL12" s="183">
        <v>0</v>
      </c>
      <c r="AM12" s="183">
        <v>0</v>
      </c>
      <c r="AN12" s="189">
        <v>0</v>
      </c>
      <c r="AO12" s="259">
        <v>3</v>
      </c>
      <c r="AP12" s="155">
        <v>3</v>
      </c>
      <c r="AQ12" s="155">
        <v>3</v>
      </c>
      <c r="AR12" s="154">
        <v>3</v>
      </c>
      <c r="AS12" s="340" t="s">
        <v>802</v>
      </c>
      <c r="AT12" s="203"/>
      <c r="AU12" s="202"/>
      <c r="AV12" s="203"/>
      <c r="AW12" s="202"/>
      <c r="AX12" s="203"/>
      <c r="AY12" s="126">
        <f t="shared" si="1"/>
        <v>1706</v>
      </c>
      <c r="AZ12" s="127">
        <f t="shared" si="1"/>
        <v>1039</v>
      </c>
      <c r="BA12" s="127">
        <f t="shared" si="1"/>
        <v>917</v>
      </c>
      <c r="BB12" s="127">
        <f t="shared" si="1"/>
        <v>1828</v>
      </c>
      <c r="BC12" s="125">
        <f>IF(ISNUMBER(X12),X12," - ")</f>
        <v>445</v>
      </c>
      <c r="BD12" s="126">
        <f t="shared" si="2"/>
        <v>0.88257940327237727</v>
      </c>
      <c r="BE12" s="127">
        <f t="shared" si="3"/>
        <v>1.9934569247546348</v>
      </c>
      <c r="BF12" s="127">
        <f t="shared" si="4"/>
        <v>0.48527808069792805</v>
      </c>
      <c r="BG12" s="196">
        <f t="shared" si="5"/>
        <v>2.9934569247546348</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2008</v>
      </c>
      <c r="J13" s="184">
        <f t="shared" si="6"/>
        <v>726</v>
      </c>
      <c r="K13" s="184">
        <f t="shared" si="6"/>
        <v>785</v>
      </c>
      <c r="L13" s="184">
        <f t="shared" si="6"/>
        <v>1949</v>
      </c>
      <c r="M13" s="184">
        <f t="shared" si="6"/>
        <v>147</v>
      </c>
      <c r="N13" s="184">
        <f t="shared" si="6"/>
        <v>426</v>
      </c>
      <c r="O13" s="184">
        <f t="shared" si="6"/>
        <v>368</v>
      </c>
      <c r="P13" s="184">
        <f t="shared" si="6"/>
        <v>101</v>
      </c>
      <c r="Q13" s="184">
        <f t="shared" si="6"/>
        <v>112</v>
      </c>
      <c r="R13" s="184">
        <f t="shared" si="6"/>
        <v>2333</v>
      </c>
      <c r="S13" s="184">
        <f t="shared" si="6"/>
        <v>1708</v>
      </c>
      <c r="T13" s="184">
        <f t="shared" si="6"/>
        <v>835</v>
      </c>
      <c r="U13" s="184">
        <f t="shared" si="6"/>
        <v>742</v>
      </c>
      <c r="V13" s="184">
        <f t="shared" si="6"/>
        <v>1801</v>
      </c>
      <c r="W13" s="184">
        <f t="shared" si="6"/>
        <v>186</v>
      </c>
      <c r="X13" s="184">
        <f t="shared" si="6"/>
        <v>446</v>
      </c>
      <c r="Y13" s="184">
        <f t="shared" si="6"/>
        <v>73</v>
      </c>
      <c r="Z13" s="184">
        <f t="shared" si="6"/>
        <v>173</v>
      </c>
      <c r="AA13" s="184">
        <f t="shared" si="6"/>
        <v>177</v>
      </c>
      <c r="AB13" s="184">
        <f t="shared" si="6"/>
        <v>69</v>
      </c>
      <c r="AC13" s="184">
        <f t="shared" si="6"/>
        <v>0</v>
      </c>
      <c r="AD13" s="184">
        <f t="shared" si="6"/>
        <v>0</v>
      </c>
      <c r="AE13" s="184">
        <f t="shared" si="6"/>
        <v>0</v>
      </c>
      <c r="AF13" s="184">
        <f>SUBTOTAL(9,AF9:AF12)</f>
        <v>0</v>
      </c>
      <c r="AG13" s="184">
        <f t="shared" ref="AG13:AT13" si="7">SUBTOTAL(9,AG8:AG12)</f>
        <v>28</v>
      </c>
      <c r="AH13" s="184">
        <f t="shared" si="7"/>
        <v>209</v>
      </c>
      <c r="AI13" s="184">
        <f t="shared" si="7"/>
        <v>181</v>
      </c>
      <c r="AJ13" s="184">
        <f t="shared" si="7"/>
        <v>56</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1736</v>
      </c>
      <c r="AZ13" s="184">
        <f>SUBTOTAL(9,AZ8:AZ12)</f>
        <v>1044</v>
      </c>
      <c r="BA13" s="184">
        <f>SUBTOTAL(9,BA8:BA12)</f>
        <v>923</v>
      </c>
      <c r="BB13" s="184">
        <f>SUBTOTAL(9,BB8:BB12)</f>
        <v>1857</v>
      </c>
      <c r="BC13" s="184">
        <f>SUBTOTAL(9,BC8:BC12)</f>
        <v>449</v>
      </c>
      <c r="BD13" s="205">
        <f>IF(ISNUMBER(BA13/AZ13),BA13/AZ13," - ")</f>
        <v>0.88409961685823757</v>
      </c>
      <c r="BE13" s="206">
        <f>IF(ISNUMBER(BB13/BA13),BB13/BA13, " - ")</f>
        <v>2.0119176598049839</v>
      </c>
      <c r="BF13" s="206">
        <f>IF(ISNUMBER(BC13/BA13),BC13/BA13, " - ")</f>
        <v>0.48645720476706394</v>
      </c>
      <c r="BG13" s="207">
        <f>IF(ISNUMBER((AY13+AZ13)/BA13),(AY13+AZ13)/BA13," - ")</f>
        <v>3.0119176598049839</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1005</v>
      </c>
      <c r="J16" s="183">
        <v>986</v>
      </c>
      <c r="K16" s="183">
        <v>918</v>
      </c>
      <c r="L16" s="183">
        <v>1088</v>
      </c>
      <c r="M16" s="183">
        <v>133</v>
      </c>
      <c r="N16" s="183">
        <v>640</v>
      </c>
      <c r="O16" s="181">
        <v>8</v>
      </c>
      <c r="P16" s="183">
        <v>30</v>
      </c>
      <c r="Q16" s="183">
        <v>27</v>
      </c>
      <c r="R16" s="183">
        <v>120</v>
      </c>
      <c r="S16" s="183">
        <v>1032</v>
      </c>
      <c r="T16" s="183">
        <v>928</v>
      </c>
      <c r="U16" s="183">
        <v>886</v>
      </c>
      <c r="V16" s="183">
        <v>1073</v>
      </c>
      <c r="W16" s="183">
        <v>96</v>
      </c>
      <c r="X16" s="189">
        <v>631</v>
      </c>
      <c r="Y16" s="202">
        <v>0</v>
      </c>
      <c r="Z16" s="183">
        <v>0</v>
      </c>
      <c r="AA16" s="183">
        <v>0</v>
      </c>
      <c r="AB16" s="183">
        <v>0</v>
      </c>
      <c r="AC16" s="183">
        <v>0</v>
      </c>
      <c r="AD16" s="183">
        <v>4</v>
      </c>
      <c r="AE16" s="183">
        <v>3</v>
      </c>
      <c r="AF16" s="189">
        <v>1</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1032</v>
      </c>
      <c r="AZ16" s="127">
        <f t="shared" si="9"/>
        <v>928</v>
      </c>
      <c r="BA16" s="127">
        <f t="shared" si="9"/>
        <v>886</v>
      </c>
      <c r="BB16" s="127">
        <f t="shared" si="9"/>
        <v>1073</v>
      </c>
      <c r="BC16" s="125">
        <f>IF(ISNUMBER(W16),W16," - ")</f>
        <v>96</v>
      </c>
      <c r="BD16" s="126">
        <f t="shared" ref="BD16" si="11">IF(ISNUMBER(BA16/AZ16),BA16/AZ16," - ")</f>
        <v>0.95474137931034486</v>
      </c>
      <c r="BE16" s="127">
        <f t="shared" ref="BE16" si="12">IF(ISNUMBER(BB16/BA16),BB16/BA16, " - ")</f>
        <v>1.2110609480812642</v>
      </c>
      <c r="BF16" s="127">
        <f t="shared" ref="BF16" si="13">IF(ISNUMBER(BC16/BA16),BC16/BA16, " - ")</f>
        <v>0.10835214446952596</v>
      </c>
      <c r="BG16" s="196">
        <f t="shared" si="10"/>
        <v>2.2121896162528216</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202</v>
      </c>
      <c r="J17" s="183">
        <v>53</v>
      </c>
      <c r="K17" s="183">
        <v>54</v>
      </c>
      <c r="L17" s="183">
        <v>201</v>
      </c>
      <c r="M17" s="183">
        <v>6</v>
      </c>
      <c r="N17" s="183">
        <v>58</v>
      </c>
      <c r="O17" s="183">
        <v>0</v>
      </c>
      <c r="P17" s="183">
        <v>2</v>
      </c>
      <c r="Q17" s="183">
        <v>4</v>
      </c>
      <c r="R17" s="183">
        <v>0</v>
      </c>
      <c r="S17" s="183">
        <v>166</v>
      </c>
      <c r="T17" s="183">
        <v>65</v>
      </c>
      <c r="U17" s="183">
        <v>57</v>
      </c>
      <c r="V17" s="183">
        <v>174</v>
      </c>
      <c r="W17" s="183">
        <v>1</v>
      </c>
      <c r="X17" s="189">
        <v>30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166</v>
      </c>
      <c r="AZ17" s="129">
        <f t="shared" si="14"/>
        <v>65</v>
      </c>
      <c r="BA17" s="129">
        <f t="shared" si="14"/>
        <v>57</v>
      </c>
      <c r="BB17" s="129">
        <f t="shared" si="14"/>
        <v>174</v>
      </c>
      <c r="BC17" s="125">
        <f>IF(ISNUMBER(W17),W17," - ")</f>
        <v>1</v>
      </c>
      <c r="BD17" s="126">
        <f>IF(ISNUMBER(BA17/AZ17),BA17/AZ17," - ")</f>
        <v>0.87692307692307692</v>
      </c>
      <c r="BE17" s="127">
        <f>IF(ISNUMBER(BB17/BA17),BB17/BA17, " - ")</f>
        <v>3.0526315789473686</v>
      </c>
      <c r="BF17" s="127">
        <f>IF(ISNUMBER(BC17/BA17),BC17/BA17, " - ")</f>
        <v>1.7543859649122806E-2</v>
      </c>
      <c r="BG17" s="196">
        <f>IF(ISNUMBER((AY17+AZ17)/BA17),(AY17+AZ17)/BA17," - ")</f>
        <v>4.0526315789473681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1207</v>
      </c>
      <c r="J18" s="184">
        <f t="shared" si="15"/>
        <v>1039</v>
      </c>
      <c r="K18" s="184">
        <f t="shared" si="15"/>
        <v>972</v>
      </c>
      <c r="L18" s="184">
        <f t="shared" si="15"/>
        <v>1289</v>
      </c>
      <c r="M18" s="184">
        <f t="shared" si="15"/>
        <v>139</v>
      </c>
      <c r="N18" s="184">
        <f t="shared" si="15"/>
        <v>698</v>
      </c>
      <c r="O18" s="184">
        <f t="shared" si="15"/>
        <v>8</v>
      </c>
      <c r="P18" s="184">
        <f t="shared" si="15"/>
        <v>32</v>
      </c>
      <c r="Q18" s="184">
        <f t="shared" si="15"/>
        <v>31</v>
      </c>
      <c r="R18" s="184">
        <f t="shared" si="15"/>
        <v>120</v>
      </c>
      <c r="S18" s="184">
        <f t="shared" si="15"/>
        <v>1198</v>
      </c>
      <c r="T18" s="184">
        <f t="shared" si="15"/>
        <v>993</v>
      </c>
      <c r="U18" s="184">
        <f t="shared" si="15"/>
        <v>943</v>
      </c>
      <c r="V18" s="184">
        <f t="shared" si="15"/>
        <v>1247</v>
      </c>
      <c r="W18" s="184">
        <f t="shared" si="15"/>
        <v>97</v>
      </c>
      <c r="X18" s="184">
        <f t="shared" si="15"/>
        <v>661</v>
      </c>
      <c r="Y18" s="184">
        <f t="shared" si="15"/>
        <v>0</v>
      </c>
      <c r="Z18" s="184">
        <f t="shared" si="15"/>
        <v>0</v>
      </c>
      <c r="AA18" s="184">
        <f t="shared" si="15"/>
        <v>0</v>
      </c>
      <c r="AB18" s="184">
        <f t="shared" si="15"/>
        <v>0</v>
      </c>
      <c r="AC18" s="184">
        <f t="shared" si="15"/>
        <v>0</v>
      </c>
      <c r="AD18" s="184">
        <f t="shared" si="15"/>
        <v>4</v>
      </c>
      <c r="AE18" s="184">
        <f t="shared" si="15"/>
        <v>3</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1198</v>
      </c>
      <c r="AZ18" s="184">
        <f>SUBTOTAL(9,AZ14:AZ17)</f>
        <v>993</v>
      </c>
      <c r="BA18" s="184">
        <f>SUBTOTAL(9,BA14:BA17)</f>
        <v>943</v>
      </c>
      <c r="BB18" s="184">
        <f>SUBTOTAL(9,BB14:BB17)</f>
        <v>1247</v>
      </c>
      <c r="BC18" s="184">
        <f>SUBTOTAL(9,BC14:BC17)</f>
        <v>97</v>
      </c>
      <c r="BD18" s="205">
        <f>IF(ISNUMBER(BA18/AZ18),BA18/AZ18," - ")</f>
        <v>0.94964753272910374</v>
      </c>
      <c r="BE18" s="206">
        <f>IF(ISNUMBER(BB18/BA18),BB18/BA18, " - ")</f>
        <v>1.3223753976670201</v>
      </c>
      <c r="BF18" s="206">
        <f>IF(ISNUMBER(BC18/BA18),BC18/BA18, " - ")</f>
        <v>0.10286320254506894</v>
      </c>
      <c r="BG18" s="207">
        <f>IF(ISNUMBER((AY18+AZ18)/BA18),(AY18+AZ18)/BA18," - ")</f>
        <v>2.3234358430540829</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3215</v>
      </c>
      <c r="J19" s="134">
        <f t="shared" si="18"/>
        <v>1765</v>
      </c>
      <c r="K19" s="134">
        <f t="shared" si="18"/>
        <v>1757</v>
      </c>
      <c r="L19" s="134">
        <f t="shared" si="18"/>
        <v>3238</v>
      </c>
      <c r="M19" s="134">
        <f t="shared" si="18"/>
        <v>286</v>
      </c>
      <c r="N19" s="134">
        <f t="shared" si="18"/>
        <v>1124</v>
      </c>
      <c r="O19" s="134">
        <f t="shared" si="18"/>
        <v>376</v>
      </c>
      <c r="P19" s="134">
        <f t="shared" si="18"/>
        <v>133</v>
      </c>
      <c r="Q19" s="134">
        <f t="shared" si="18"/>
        <v>143</v>
      </c>
      <c r="R19" s="134">
        <f t="shared" si="18"/>
        <v>2453</v>
      </c>
      <c r="S19" s="134">
        <f t="shared" si="18"/>
        <v>2906</v>
      </c>
      <c r="T19" s="134">
        <f t="shared" si="18"/>
        <v>1828</v>
      </c>
      <c r="U19" s="134">
        <f t="shared" si="18"/>
        <v>1685</v>
      </c>
      <c r="V19" s="134">
        <f t="shared" si="18"/>
        <v>3048</v>
      </c>
      <c r="W19" s="134">
        <f t="shared" si="18"/>
        <v>283</v>
      </c>
      <c r="X19" s="134">
        <f t="shared" si="18"/>
        <v>1107</v>
      </c>
      <c r="Y19" s="134">
        <f t="shared" si="18"/>
        <v>73</v>
      </c>
      <c r="Z19" s="134">
        <f t="shared" si="18"/>
        <v>173</v>
      </c>
      <c r="AA19" s="134">
        <f t="shared" si="18"/>
        <v>177</v>
      </c>
      <c r="AB19" s="134">
        <f t="shared" si="18"/>
        <v>69</v>
      </c>
      <c r="AC19" s="134">
        <f t="shared" si="18"/>
        <v>0</v>
      </c>
      <c r="AD19" s="134">
        <f t="shared" si="18"/>
        <v>4</v>
      </c>
      <c r="AE19" s="134">
        <f t="shared" si="18"/>
        <v>3</v>
      </c>
      <c r="AF19" s="134">
        <f t="shared" si="18"/>
        <v>1</v>
      </c>
      <c r="AG19" s="134">
        <f t="shared" si="18"/>
        <v>28</v>
      </c>
      <c r="AH19" s="134">
        <f t="shared" si="18"/>
        <v>209</v>
      </c>
      <c r="AI19" s="134">
        <f t="shared" si="18"/>
        <v>181</v>
      </c>
      <c r="AJ19" s="134">
        <f t="shared" si="18"/>
        <v>56</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2934</v>
      </c>
      <c r="AZ19" s="134">
        <f>SUBTOTAL(9,AZ9:AZ18)</f>
        <v>2037</v>
      </c>
      <c r="BA19" s="134">
        <f>SUBTOTAL(9,BA9:BA18)</f>
        <v>1866</v>
      </c>
      <c r="BB19" s="134">
        <f>SUBTOTAL(9,BB9:BB18)</f>
        <v>3104</v>
      </c>
      <c r="BC19" s="135">
        <f>SUBTOTAL(9,BC9:BC18)</f>
        <v>546</v>
      </c>
      <c r="BD19" s="213">
        <f>IF(ISNUMBER(BA19/AZ19),BA19/AZ19," - ")</f>
        <v>0.91605301914580262</v>
      </c>
      <c r="BE19" s="210">
        <f>IF(ISNUMBER(BB19/BA19),BB19/BA19, " - ")</f>
        <v>1.6634512325830655</v>
      </c>
      <c r="BF19" s="210">
        <f>IF(ISNUMBER(BC19/BA19),BC19/BA19, " - ")</f>
        <v>0.29260450160771706</v>
      </c>
      <c r="BG19" s="135">
        <f>IF(ISNUMBER((AY19+AZ19)/BA19),(AY19+AZ19)/BA19," - ")</f>
        <v>2.6639871382636655</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0dbl+XviuCMhY4wjOL2RQGh7H/SNteLDwdx+aOb8gm6bFZNIzXYbBODiWZlzFkBf6pzFpc6lBuLl0C1kbePw==" saltValue="eqpO0bwUD/9hIhtAAT1QU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JvdR9C51TvcA6nnzvNf9zkPlBwegJo//UeO6MtpPDSOoqT8AU1K0O5I4PIDTJVDjrWCp3CfseLzFq6ppfGetw==" saltValue="URJHI/WTrupeVLBhqICfj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ESPLUGUES DE LLOBREGAT</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34</v>
      </c>
      <c r="G10" s="333">
        <f>IF(ISNUMBER(Datos!I10),Datos!I10," - ")</f>
        <v>34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1</v>
      </c>
      <c r="AD10" s="334"/>
      <c r="AE10" s="484"/>
      <c r="AF10" s="332">
        <f>IF(ISNUMBER(Datos!L10),Datos!L10,"-")</f>
        <v>32</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1</v>
      </c>
      <c r="BE10" s="229" t="str">
        <f>IF(ISNUMBER(Datos!BW10),Datos!BW10," - ")</f>
        <v xml:space="preserve"> - </v>
      </c>
      <c r="BF10" s="228" t="str">
        <f>IF(ISNUMBER(Datos!BX10),Datos!BX10," - ")</f>
        <v xml:space="preserve"> - </v>
      </c>
      <c r="BG10" s="243">
        <f>IF(ISNUMBER(Datos!K10/Datos!J10),Datos!K10/Datos!J10," - ")</f>
        <v>1.25</v>
      </c>
      <c r="BH10" s="260">
        <f>IF(ISNUMBER(((Datos!L10/Datos!K10)*11)/factor_trimestre),((Datos!L10/Datos!K10)*11)/factor_trimestre," - ")</f>
        <v>9.6000000000000014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-0.1111111111111111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173</v>
      </c>
      <c r="O12" s="334"/>
      <c r="P12" s="334"/>
      <c r="Q12" s="226">
        <f>IF(ISNUMBER(Datos!P12),Datos!P12,0)</f>
        <v>101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69</v>
      </c>
      <c r="AI12" s="334" t="str">
        <f>IF(ISNUMBER(Datos!CD12),Datos!CD12,"-")</f>
        <v>-</v>
      </c>
      <c r="AJ12" s="334" t="str">
        <f>IF(ISNUMBER(Datos!EN12),Datos!EN12," - ")</f>
        <v xml:space="preserve"> - </v>
      </c>
      <c r="AK12" s="334"/>
      <c r="AL12" s="479"/>
      <c r="AM12" s="335">
        <f>IF(ISNUMBER(Datos!R12),Datos!R12," - ")</f>
        <v>2325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144</v>
      </c>
      <c r="BD12" s="229">
        <f>IF(ISNUMBER(Datos!N12),Datos!N12," - ")</f>
        <v>425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1.0684624017957352</v>
      </c>
      <c r="BH12" s="260">
        <f>IF(ISNUMBER(((IF(J_V="SI",Datos!L12/Datos!K12,(Datos!L12+Datos!AB12)/(Datos!K12+Datos!AA12)))*11)/factor_trimestre),((IF(J_V="SI",Datos!L12/Datos!K12,(Datos!L12+Datos!AB12)/(Datos!K12+Datos!AA12)))*11)/factor_trimestre," - ")</f>
        <v>6.2584033613445387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-4.2826552462526769E-3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34</v>
      </c>
      <c r="G13" s="898">
        <f t="shared" si="0"/>
        <v>34</v>
      </c>
      <c r="H13" s="899">
        <f t="shared" si="0"/>
        <v>0</v>
      </c>
      <c r="I13" s="898">
        <f t="shared" si="0"/>
        <v>0</v>
      </c>
      <c r="J13" s="867">
        <f t="shared" si="0"/>
        <v>0</v>
      </c>
      <c r="K13" s="867">
        <f t="shared" si="0"/>
        <v>0</v>
      </c>
      <c r="L13" s="899">
        <f t="shared" si="0"/>
        <v>0</v>
      </c>
      <c r="M13" s="899">
        <f t="shared" si="0"/>
        <v>0</v>
      </c>
      <c r="N13" s="899">
        <f t="shared" si="0"/>
        <v>173</v>
      </c>
      <c r="O13" s="900">
        <f t="shared" si="0"/>
        <v>0</v>
      </c>
      <c r="P13" s="900">
        <f t="shared" si="0"/>
        <v>0</v>
      </c>
      <c r="Q13" s="899">
        <f t="shared" si="0"/>
        <v>101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112</v>
      </c>
      <c r="AD13" s="899">
        <f t="shared" si="1"/>
        <v>0</v>
      </c>
      <c r="AE13" s="899">
        <f t="shared" si="1"/>
        <v>0</v>
      </c>
      <c r="AF13" s="899">
        <f t="shared" si="1"/>
        <v>32</v>
      </c>
      <c r="AG13" s="899">
        <f t="shared" si="1"/>
        <v>0</v>
      </c>
      <c r="AH13" s="899">
        <f t="shared" si="1"/>
        <v>69</v>
      </c>
      <c r="AI13" s="899">
        <f t="shared" si="1"/>
        <v>0</v>
      </c>
      <c r="AJ13" s="899">
        <f t="shared" si="1"/>
        <v>0</v>
      </c>
      <c r="AK13" s="899">
        <f t="shared" si="1"/>
        <v>0</v>
      </c>
      <c r="AL13" s="899">
        <f t="shared" si="1"/>
        <v>0</v>
      </c>
      <c r="AM13" s="899">
        <f t="shared" si="1"/>
        <v>2333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147</v>
      </c>
      <c r="BD13" s="899">
        <f t="shared" si="1"/>
        <v>426</v>
      </c>
      <c r="BE13" s="899">
        <f t="shared" si="1"/>
        <v>0</v>
      </c>
      <c r="BF13" s="899">
        <f t="shared" si="1"/>
        <v>0</v>
      </c>
      <c r="BG13" s="899">
        <f>IF(ISNUMBER(Datos!K13/Datos!J13),Datos!K13/Datos!J13," - ")</f>
        <v>1.081267217630854</v>
      </c>
      <c r="BH13" s="903">
        <f>IF(ISNUMBER(((Datos!L13/Datos!K13)*11)/factor_trimestre),((Datos!L13/Datos!K13)*11)/factor_trimestre," - ")</f>
        <v>7.4484076433121027</v>
      </c>
      <c r="BI13" s="899">
        <f>IF(ISNUMBER('Resol  Asuntos'!D13/NºAsuntos!G13),'Resol  Asuntos'!D13/NºAsuntos!G13," - ")</f>
        <v>0.15280665280665282</v>
      </c>
      <c r="BJ13" s="899" t="str">
        <f>IF(ISNUMBER(Datos!CI13/Datos!CJ13),Datos!CI13/Datos!CJ13," - ")</f>
        <v xml:space="preserve"> - </v>
      </c>
      <c r="BK13" s="899">
        <f>SUBTOTAL(9,BK8:BK12)</f>
        <v>0</v>
      </c>
      <c r="BL13" s="899">
        <f>IF(ISNUMBER((I13-AB13+L13)/(F13)),(I13-AB13+L13)/(F13)," - ")</f>
        <v>-0.29411764705882354</v>
      </c>
      <c r="BM13" s="904">
        <f>SUBTOTAL(9,BM9:BM12)</f>
        <v>-0.11539376635736379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1020</v>
      </c>
      <c r="G16" s="598">
        <f>IF(ISNUMBER(IF(D_I="SI",Datos!I16,Datos!I16+Datos!AC16)),IF(D_I="SI",Datos!I16,Datos!I16+Datos!AC16)," - ")</f>
        <v>1005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918</v>
      </c>
      <c r="AC16" s="226">
        <f>IF(ISNUMBER(Datos!Q16),Datos!Q16," - ")</f>
        <v>27</v>
      </c>
      <c r="AD16" s="334"/>
      <c r="AE16" s="484"/>
      <c r="AF16" s="596">
        <f>IF(ISNUMBER(IF(D_I="SI",Datos!L16,Datos!L16+Datos!AF16)),IF(D_I="SI",Datos!L16,Datos!L16+Datos!AF16)," - ")</f>
        <v>1088</v>
      </c>
      <c r="AG16" s="334"/>
      <c r="AH16" s="334"/>
      <c r="AI16" s="334"/>
      <c r="AJ16" s="334"/>
      <c r="AK16" s="334"/>
      <c r="AL16" s="479"/>
      <c r="AM16" s="335">
        <f>IF(ISNUMBER(Datos!R16),Datos!R16," - ")</f>
        <v>120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133</v>
      </c>
      <c r="BD16" s="229">
        <f>IF(ISNUMBER(Datos!N16),Datos!N16," - ")</f>
        <v>640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0.93103448275862066</v>
      </c>
      <c r="BH16" s="260">
        <f>IF(ISNUMBER(((IF(D_I="SI",Datos!L16/Datos!K16,(Datos!L16+Datos!AF16)/(Datos!K16+Datos!AE16)))*11)/factor_trimestre),((IF(D_I="SI",Datos!L16/Datos!K16,(Datos!L16+Datos!AF16)/(Datos!K16+Datos!AE16)))*11)/factor_trimestre," - ")</f>
        <v>3.5555555555555554</v>
      </c>
      <c r="BI16" s="243">
        <f>IF(ISNUMBER('Resol  Asuntos'!D16/NºAsuntos!G16),'Resol  Asuntos'!D16/NºAsuntos!G16," - ")</f>
        <v>0.144880174291939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202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54</v>
      </c>
      <c r="AC17" s="226">
        <f>IF(ISNUMBER(Datos!Q17),Datos!Q17," - ")</f>
        <v>4</v>
      </c>
      <c r="AD17" s="334"/>
      <c r="AE17" s="484"/>
      <c r="AF17" s="332">
        <f>IF(ISNUMBER(Datos!L17),Datos!L17,"-")</f>
        <v>201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58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1.0188679245283019</v>
      </c>
      <c r="BH17" s="260">
        <f>IF(ISNUMBER(((IF(D_I="SI",Datos!L17/Datos!K17,(Datos!L17+Datos!AF17)/(Datos!K17+Datos!AE17)))*11)/factor_trimestre),((IF(D_I="SI",Datos!L17/Datos!K17,(Datos!L17+Datos!AF17)/(Datos!K17+Datos!AE17)))*11)/factor_trimestre," - ")</f>
        <v>11.166666666666666</v>
      </c>
      <c r="BI17" s="243">
        <f>IF(ISNUMBER('Resol  Asuntos'!D17/NºAsuntos!G17),'Resol  Asuntos'!D17/NºAsuntos!G17," - ")</f>
        <v>0.1111111111111111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1020</v>
      </c>
      <c r="G18" s="898">
        <f>SUBTOTAL(9,G15:G17)</f>
        <v>1207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972</v>
      </c>
      <c r="AC18" s="899">
        <f t="shared" si="4"/>
        <v>31</v>
      </c>
      <c r="AD18" s="899">
        <f t="shared" si="4"/>
        <v>0</v>
      </c>
      <c r="AE18" s="899">
        <f t="shared" si="4"/>
        <v>0</v>
      </c>
      <c r="AF18" s="899">
        <f t="shared" si="4"/>
        <v>1289</v>
      </c>
      <c r="AG18" s="899">
        <f t="shared" si="4"/>
        <v>0</v>
      </c>
      <c r="AH18" s="899">
        <f t="shared" si="4"/>
        <v>0</v>
      </c>
      <c r="AI18" s="899">
        <f t="shared" si="4"/>
        <v>0</v>
      </c>
      <c r="AJ18" s="899">
        <f t="shared" si="4"/>
        <v>0</v>
      </c>
      <c r="AK18" s="899">
        <f t="shared" si="4"/>
        <v>0</v>
      </c>
      <c r="AL18" s="899">
        <f t="shared" si="4"/>
        <v>0</v>
      </c>
      <c r="AM18" s="899">
        <f t="shared" si="4"/>
        <v>120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139</v>
      </c>
      <c r="BD18" s="899">
        <f t="shared" si="4"/>
        <v>698</v>
      </c>
      <c r="BE18" s="899">
        <f t="shared" si="4"/>
        <v>0</v>
      </c>
      <c r="BF18" s="899">
        <f t="shared" si="4"/>
        <v>0</v>
      </c>
      <c r="BG18" s="899">
        <f>IF(ISNUMBER(Datos!K18/Datos!J18),Datos!K18/Datos!J18," - ")</f>
        <v>0.93551491819056787</v>
      </c>
      <c r="BH18" s="903">
        <f>IF(ISNUMBER(((Datos!L18/Datos!K18)*11)/factor_trimestre),((Datos!L18/Datos!K18)*11)/factor_trimestre," - ")</f>
        <v>3.9783950617283956</v>
      </c>
      <c r="BI18" s="899">
        <f>SUBTOTAL(9,BI15:BI17)</f>
        <v>0.25599128540305011</v>
      </c>
      <c r="BJ18" s="899">
        <f>SUBTOTAL(9,BJ15:BJ17)</f>
        <v>0</v>
      </c>
      <c r="BK18" s="899">
        <f>SUBTOTAL(9,BK15:BK17)</f>
        <v>0</v>
      </c>
      <c r="BL18" s="899">
        <f>IF(ISNUMBER((I18-AB18+L18)/(F18)),(I18-AB18+L18)/(F18)," - ")</f>
        <v>-0.95294117647058818</v>
      </c>
      <c r="BM18" s="905">
        <f>IF(ISNUMBER((Datos!P18-Datos!Q18)/(Datos!R18-Datos!P18+Datos!Q18)),(Datos!P18-Datos!Q18)/(Datos!R18-Datos!P18+Datos!Q18)," - ")</f>
        <v>8.4033613445378148E-3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1054</v>
      </c>
      <c r="G19" s="820">
        <f t="shared" si="6"/>
        <v>1241</v>
      </c>
      <c r="H19" s="822">
        <f t="shared" si="6"/>
        <v>0</v>
      </c>
      <c r="I19" s="820">
        <f t="shared" si="6"/>
        <v>0</v>
      </c>
      <c r="J19" s="822">
        <f t="shared" si="6"/>
        <v>0</v>
      </c>
      <c r="K19" s="822">
        <f t="shared" si="6"/>
        <v>0</v>
      </c>
      <c r="L19" s="881">
        <f t="shared" si="6"/>
        <v>0</v>
      </c>
      <c r="M19" s="881">
        <f t="shared" si="6"/>
        <v>0</v>
      </c>
      <c r="N19" s="881">
        <f t="shared" si="6"/>
        <v>173</v>
      </c>
      <c r="O19" s="881">
        <f t="shared" si="6"/>
        <v>0</v>
      </c>
      <c r="P19" s="881">
        <f t="shared" si="6"/>
        <v>0</v>
      </c>
      <c r="Q19" s="822">
        <f t="shared" si="6"/>
        <v>133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982</v>
      </c>
      <c r="AC19" s="821">
        <f t="shared" si="7"/>
        <v>143</v>
      </c>
      <c r="AD19" s="821">
        <f t="shared" si="7"/>
        <v>0</v>
      </c>
      <c r="AE19" s="821">
        <f t="shared" si="7"/>
        <v>0</v>
      </c>
      <c r="AF19" s="828">
        <f t="shared" si="7"/>
        <v>1321</v>
      </c>
      <c r="AG19" s="828">
        <f t="shared" si="7"/>
        <v>0</v>
      </c>
      <c r="AH19" s="828">
        <f t="shared" si="7"/>
        <v>69</v>
      </c>
      <c r="AI19" s="828">
        <f t="shared" si="7"/>
        <v>0</v>
      </c>
      <c r="AJ19" s="821">
        <f t="shared" si="7"/>
        <v>0</v>
      </c>
      <c r="AK19" s="828">
        <f t="shared" si="7"/>
        <v>0</v>
      </c>
      <c r="AL19" s="828">
        <f t="shared" si="7"/>
        <v>0</v>
      </c>
      <c r="AM19" s="828">
        <f t="shared" si="7"/>
        <v>2453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286</v>
      </c>
      <c r="BD19" s="820">
        <f t="shared" si="7"/>
        <v>1124</v>
      </c>
      <c r="BE19" s="820">
        <f t="shared" si="7"/>
        <v>0</v>
      </c>
      <c r="BF19" s="830">
        <f t="shared" si="7"/>
        <v>0</v>
      </c>
      <c r="BG19" s="915">
        <f>IF(ISNUMBER(Datos!K19/Datos!J19),Datos!K19/Datos!J19," - ")</f>
        <v>0.99546742209631733</v>
      </c>
      <c r="BH19" s="915">
        <f>IF(ISNUMBER(((Datos!L19/Datos!K19)*11)/factor_trimestre),((Datos!L19/Datos!K19)*11)/factor_trimestre," - ")</f>
        <v>5.5287421741605014</v>
      </c>
      <c r="BI19" s="813">
        <f>IF(ISNUMBER(Datos!J19/Datos!I19),Datos!J19/Datos!I19," - ")</f>
        <v>0.54898911353032664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-0.93168880455407965</v>
      </c>
      <c r="BM19" s="889">
        <f>IF(ISNUMBER((Datos!P19-Datos!Q19+R19)/(Datos!R19-Datos!P19+Datos!Q19-R19)),(Datos!P19-Datos!Q19+R19)/(Datos!R19-Datos!P19+Datos!Q19-R19)," - ")</f>
        <v>-4.0600893219650833E-3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496.4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569.26736542097103</v>
      </c>
      <c r="G21" s="552">
        <f>IF(ISNUMBER(STDEV(G8:G18)),STDEV(G8:G18),"-")</f>
        <v>565.2267686513087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504.76846177232591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70.525645453740211</v>
      </c>
      <c r="BD21" s="551"/>
      <c r="BE21" s="551">
        <f>IF(ISNUMBER(STDEV(BE8:BE18)),STDEV(BE8:BE18),"-")</f>
        <v>0</v>
      </c>
      <c r="BF21" s="556">
        <f>IF(ISNUMBER(STDEV(BF8:BF18)),STDEV(BF8:BF18),"-")</f>
        <v>0</v>
      </c>
      <c r="BG21" s="775">
        <f>IF(ISNUMBER(STDEV(BG8:BG18)),STDEV(BG8:BG18),"-")</f>
        <v>0.11790722172688131</v>
      </c>
      <c r="BH21" s="776">
        <f>IF(ISNUMBER(STDEV(BH8:BH18)),STDEV(BH8:BH18),"-")</f>
        <v>3.0287433313976888</v>
      </c>
      <c r="BI21" s="249">
        <f>IF(ISNUMBER(STDEV(BI8:BI18)),STDEV(BI8:BI18),"-")</f>
        <v>6.253313068972681E-2</v>
      </c>
      <c r="BJ21" s="230" t="str">
        <f>IF(ISNUMBER(BL21/BM21),BL21/BM21," - ")</f>
        <v xml:space="preserve"> - </v>
      </c>
      <c r="BK21" s="575"/>
      <c r="BL21" s="559">
        <f>IF(ISNUMBER(STDEV(BL8:BL18)),STDEV(BL8:BL18),"-")</f>
        <v>0.46585858525231361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GABW69Yl9tdYW/7g4bOBMCymEZNQojOf/M+qIShIJFnQ0jDMoa7qt40eSkFtIGekY8I8D7qEkXLd4JgaVHZ5vw==" saltValue="wx/H0GYWTAxJj8hYzH6B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ESPLUGUES DE LLOBREGAT</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34</v>
      </c>
      <c r="G10" s="225">
        <f>IF(ISNUMBER(Datos!I10),Datos!I10," - ")</f>
        <v>34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1</v>
      </c>
      <c r="AA10" s="332">
        <f>IF(ISNUMBER(Datos!L10),Datos!L10,"-")</f>
        <v>32</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3</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9.6000000000000014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-0.1111111111111111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111</v>
      </c>
      <c r="AA12" s="332" t="str">
        <f>IF(ISNUMBER(IF(J_V="SI",Datos!L12,Datos!L12+Datos!AB12)-IF(Monitorios="SI",Datos!CD12,0)),
                          IF(J_V="SI",Datos!L12,Datos!L12+Datos!AB12)-IF(Monitorios="SI",Datos!CD12,0),
                          " - ")</f>
        <v xml:space="preserve"> - </v>
      </c>
      <c r="AB12" s="334"/>
      <c r="AC12" s="334"/>
      <c r="AD12" s="484"/>
      <c r="AE12" s="484">
        <f>IF(ISNUMBER(Datos!R12),Datos!R12," - ")</f>
        <v>2325</v>
      </c>
      <c r="AF12" s="229" t="str">
        <f>IF(ISNUMBER(Datos!BV12),Datos!BV12," - ")</f>
        <v xml:space="preserve"> - </v>
      </c>
      <c r="AG12" s="225" t="str">
        <f>IF(ISNUMBER(Datos!DV12),Datos!DV12," - ")</f>
        <v xml:space="preserve"> - </v>
      </c>
      <c r="AH12" s="298"/>
      <c r="AI12" s="227"/>
      <c r="AJ12" s="225">
        <f>IF(ISNUMBER(Datos!M12),Datos!M12," - ")</f>
        <v>144</v>
      </c>
      <c r="AK12" s="229">
        <f>IF(ISNUMBER(Datos!N12),Datos!N12," - ")</f>
        <v>425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6.2584033613445387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-4.2826552462526769E-3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34</v>
      </c>
      <c r="G13" s="898">
        <f>SUBTOTAL(9,G8:G12)</f>
        <v>34</v>
      </c>
      <c r="H13" s="908"/>
      <c r="I13" s="898">
        <f t="shared" ref="I13:N13" si="0">SUBTOTAL(9,I8:I12)</f>
        <v>0</v>
      </c>
      <c r="J13" s="867">
        <f t="shared" si="0"/>
        <v>0</v>
      </c>
      <c r="K13" s="908">
        <f t="shared" si="0"/>
        <v>0</v>
      </c>
      <c r="L13" s="908">
        <f t="shared" si="0"/>
        <v>0</v>
      </c>
      <c r="M13" s="908">
        <f t="shared" si="0"/>
        <v>0</v>
      </c>
      <c r="N13" s="908">
        <f t="shared" si="0"/>
        <v>101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112</v>
      </c>
      <c r="AA13" s="900">
        <f t="shared" si="2"/>
        <v>32</v>
      </c>
      <c r="AB13" s="900">
        <f t="shared" si="2"/>
        <v>0</v>
      </c>
      <c r="AC13" s="900">
        <f t="shared" si="2"/>
        <v>0</v>
      </c>
      <c r="AD13" s="900">
        <f t="shared" si="2"/>
        <v>0</v>
      </c>
      <c r="AE13" s="900">
        <f t="shared" si="2"/>
        <v>2333</v>
      </c>
      <c r="AF13" s="908">
        <f t="shared" si="2"/>
        <v>0</v>
      </c>
      <c r="AG13" s="908">
        <f t="shared" si="2"/>
        <v>0</v>
      </c>
      <c r="AH13" s="908">
        <f t="shared" si="2"/>
        <v>0</v>
      </c>
      <c r="AI13" s="908">
        <f t="shared" si="2"/>
        <v>0</v>
      </c>
      <c r="AJ13" s="908">
        <f t="shared" si="2"/>
        <v>147</v>
      </c>
      <c r="AK13" s="908">
        <f t="shared" si="2"/>
        <v>426</v>
      </c>
      <c r="AL13" s="908">
        <f t="shared" si="2"/>
        <v>0</v>
      </c>
      <c r="AM13" s="908">
        <f t="shared" si="2"/>
        <v>0</v>
      </c>
      <c r="AN13" s="908">
        <f t="shared" si="2"/>
        <v>0</v>
      </c>
      <c r="AO13" s="904">
        <f>IF(ISNUMBER(((NºAsuntos!I13/NºAsuntos!G13)*11)/factor_trimestre),((NºAsuntos!I13/NºAsuntos!G13)*11)/factor_trimestre," - ")</f>
        <v>6.2931392931392942</v>
      </c>
      <c r="AP13" s="910" t="str">
        <f>IF(ISNUMBER(Datos!CI13/Datos!CJ13),Datos!CI13/Datos!CJ13," - ")</f>
        <v xml:space="preserve"> - </v>
      </c>
      <c r="AQ13" s="928">
        <f t="shared" ref="AQ13:AV13" si="3">SUBTOTAL(9,AQ9:AQ12)</f>
        <v>0</v>
      </c>
      <c r="AR13" s="928">
        <f t="shared" si="3"/>
        <v>-0.11539376635736379</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1020</v>
      </c>
      <c r="G16" s="225">
        <f>IF(ISNUMBER(IF(D_I="SI",Datos!I16,Datos!I16+Datos!AC16)),IF(D_I="SI",Datos!I16,Datos!I16+Datos!AC16)," - ")</f>
        <v>1005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918</v>
      </c>
      <c r="Z16" s="619">
        <f>IF(ISNUMBER(Datos!Q16),Datos!Q16," - ")</f>
        <v>27</v>
      </c>
      <c r="AA16" s="332">
        <f>IF(ISNUMBER(IF(D_I="SI",Datos!L16,Datos!L16+Datos!AF16)),IF(D_I="SI",Datos!L16,Datos!L16+Datos!AF16)," - ")</f>
        <v>1088</v>
      </c>
      <c r="AB16" s="334"/>
      <c r="AC16" s="334"/>
      <c r="AD16" s="484"/>
      <c r="AE16" s="484">
        <f>IF(ISNUMBER(Datos!R16),Datos!R16," - ")</f>
        <v>120</v>
      </c>
      <c r="AF16" s="229" t="str">
        <f>IF(ISNUMBER(Datos!BV16),Datos!BV16," - ")</f>
        <v xml:space="preserve"> - </v>
      </c>
      <c r="AG16" s="225"/>
      <c r="AH16" s="298"/>
      <c r="AI16" s="227"/>
      <c r="AJ16" s="225">
        <f>IF(ISNUMBER(Datos!M16),Datos!M16," - ")</f>
        <v>133</v>
      </c>
      <c r="AK16" s="229">
        <f>IF(ISNUMBER(Datos!N16),Datos!N16," - ")</f>
        <v>640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3.5555555555555554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202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54</v>
      </c>
      <c r="Z17" s="619">
        <f>IF(ISNUMBER(Datos!Q17),Datos!Q17," - ")</f>
        <v>4</v>
      </c>
      <c r="AA17" s="332">
        <f>IF(ISNUMBER(Datos!L17),Datos!L17,"-")</f>
        <v>201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6</v>
      </c>
      <c r="AK17" s="229">
        <f>IF(ISNUMBER(Datos!N17),Datos!N17," - ")</f>
        <v>58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11.166666666666666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1020</v>
      </c>
      <c r="G18" s="898">
        <f>SUBTOTAL(9,G15:G17)</f>
        <v>1207</v>
      </c>
      <c r="H18" s="932">
        <f>SUBTOTAL(9,H15:H17)</f>
        <v>0</v>
      </c>
      <c r="I18" s="911">
        <f>SUBTOTAL(9,I15:I17)</f>
        <v>0</v>
      </c>
      <c r="J18" s="867">
        <f>SUBTOTAL(9,J14:J17)</f>
        <v>0</v>
      </c>
      <c r="K18" s="932">
        <f t="shared" ref="K18:S18" si="4">SUBTOTAL(9,K15:K17)</f>
        <v>0</v>
      </c>
      <c r="L18" s="932">
        <f t="shared" si="4"/>
        <v>0</v>
      </c>
      <c r="M18" s="932">
        <f t="shared" si="4"/>
        <v>0</v>
      </c>
      <c r="N18" s="932">
        <f t="shared" si="4"/>
        <v>32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972</v>
      </c>
      <c r="Z18" s="932">
        <f t="shared" si="5"/>
        <v>31</v>
      </c>
      <c r="AA18" s="932">
        <f t="shared" si="5"/>
        <v>1289</v>
      </c>
      <c r="AB18" s="932">
        <f t="shared" si="5"/>
        <v>0</v>
      </c>
      <c r="AC18" s="932">
        <f t="shared" si="5"/>
        <v>0</v>
      </c>
      <c r="AD18" s="932">
        <f t="shared" si="5"/>
        <v>0</v>
      </c>
      <c r="AE18" s="932">
        <f t="shared" si="5"/>
        <v>120</v>
      </c>
      <c r="AF18" s="932">
        <f t="shared" si="5"/>
        <v>0</v>
      </c>
      <c r="AG18" s="932">
        <f t="shared" si="5"/>
        <v>0</v>
      </c>
      <c r="AH18" s="932">
        <f t="shared" si="5"/>
        <v>0</v>
      </c>
      <c r="AI18" s="932">
        <f t="shared" si="5"/>
        <v>0</v>
      </c>
      <c r="AJ18" s="932">
        <f t="shared" si="5"/>
        <v>139</v>
      </c>
      <c r="AK18" s="932">
        <f t="shared" si="5"/>
        <v>698</v>
      </c>
      <c r="AL18" s="932">
        <f t="shared" si="5"/>
        <v>0</v>
      </c>
      <c r="AM18" s="932">
        <f t="shared" si="5"/>
        <v>0</v>
      </c>
      <c r="AN18" s="932">
        <f t="shared" si="5"/>
        <v>0</v>
      </c>
      <c r="AO18" s="934">
        <f>IF(ISNUMBER(((NºAsuntos!I18/NºAsuntos!G18)*11)/factor_trimestre),((NºAsuntos!I18/NºAsuntos!G18)*11)/factor_trimestre," - ")</f>
        <v>3.9783950617283956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1054</v>
      </c>
      <c r="G19" s="820">
        <f t="shared" si="7"/>
        <v>1241</v>
      </c>
      <c r="H19" s="821">
        <f t="shared" si="7"/>
        <v>0</v>
      </c>
      <c r="I19" s="820">
        <f t="shared" si="7"/>
        <v>0</v>
      </c>
      <c r="J19" s="822">
        <f t="shared" si="7"/>
        <v>0</v>
      </c>
      <c r="K19" s="820">
        <f t="shared" si="7"/>
        <v>0</v>
      </c>
      <c r="L19" s="823">
        <f t="shared" si="7"/>
        <v>0</v>
      </c>
      <c r="M19" s="820">
        <f t="shared" si="7"/>
        <v>0</v>
      </c>
      <c r="N19" s="821">
        <f t="shared" si="7"/>
        <v>133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982</v>
      </c>
      <c r="Z19" s="827">
        <f t="shared" si="8"/>
        <v>143</v>
      </c>
      <c r="AA19" s="828">
        <f t="shared" si="8"/>
        <v>1321</v>
      </c>
      <c r="AB19" s="828">
        <f t="shared" si="8"/>
        <v>0</v>
      </c>
      <c r="AC19" s="828">
        <f t="shared" si="8"/>
        <v>0</v>
      </c>
      <c r="AD19" s="829">
        <f t="shared" si="8"/>
        <v>0</v>
      </c>
      <c r="AE19" s="829">
        <f t="shared" si="8"/>
        <v>2453</v>
      </c>
      <c r="AF19" s="830">
        <f t="shared" si="8"/>
        <v>0</v>
      </c>
      <c r="AG19" s="831">
        <f t="shared" si="8"/>
        <v>0</v>
      </c>
      <c r="AH19" s="832">
        <f t="shared" si="8"/>
        <v>0</v>
      </c>
      <c r="AI19" s="830">
        <f t="shared" si="8"/>
        <v>0</v>
      </c>
      <c r="AJ19" s="820">
        <f t="shared" si="8"/>
        <v>286</v>
      </c>
      <c r="AK19" s="820">
        <f t="shared" si="8"/>
        <v>1124</v>
      </c>
      <c r="AL19" s="820">
        <f t="shared" si="8"/>
        <v>0</v>
      </c>
      <c r="AM19" s="833">
        <f t="shared" si="8"/>
        <v>0</v>
      </c>
      <c r="AN19" s="823">
        <f>IF(ISNUMBER(Datos!K19/Datos!J19),Datos!K19/Datos!J19," - ")</f>
        <v>0.99546742209631733</v>
      </c>
      <c r="AO19" s="823">
        <f>IF(ISNUMBER(FIND("06",Criterios!A8,1)),(IF(ISNUMBER(((Datos!R19/Datos!Q19)*11)/factor_trimestre),((Datos!R19/Datos!Q19)*11)/factor_trimestre," - ")),(IF(ISNUMBER(((Datos!L19/Datos!K19)*11)/factor_trimestre),((Datos!L19/Datos!K19)*11)/factor_trimestre," - ")))</f>
        <v>5.5287421741605014</v>
      </c>
      <c r="AP19" s="834" t="str">
        <f>IF(ISNUMBER(Datos!CI19/Datos!CJ19),Datos!CI19/Datos!CJ19," - ")</f>
        <v xml:space="preserve"> - </v>
      </c>
      <c r="AQ19" s="834">
        <f>IF(OR(ISNUMBER(FIND("01",Criterios!A8,1)),ISNUMBER(FIND("02",Criterios!A8,1)),ISNUMBER(FIND("03",Criterios!A8,1)),ISNUMBER(FIND("04",Criterios!A8,1))),(J19-Y19+K19)/(F19-K19),(I19-Y19+K19)/(F19-K19))</f>
        <v>-0.93168880455407965</v>
      </c>
      <c r="AR19" s="834">
        <f>IF(ISNUMBER((Datos!P19-Datos!Q19+O19)/(Datos!R19-Datos!P19+Datos!Q19-O19)),(Datos!P19-Datos!Q19+O19)/(Datos!R19-Datos!P19+Datos!Q19-O19)," - ")</f>
        <v>-4.0600893219650833E-3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496.4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569.26736542097103</v>
      </c>
      <c r="G21" s="552">
        <f>IF(ISNUMBER(STDEV(G8:G18)),STDEV(G8:G18),"-")</f>
        <v>565.2267686513087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70.525645453740211</v>
      </c>
      <c r="AK21" s="252"/>
      <c r="AL21" s="252">
        <f>IF(ISNUMBER(STDEV(AL8:AL18)),STDEV(AL8:AL18),"-")</f>
        <v>0</v>
      </c>
      <c r="AM21" s="254">
        <f>IF(ISNUMBER(STDEV(AM8:AM18)),STDEV(AM8:AM18),"-")</f>
        <v>0</v>
      </c>
      <c r="AN21" s="539">
        <f>IF(ISNUMBER(STDEV(AN8:AN18)),STDEV(AN8:AN18),"-")</f>
        <v>0</v>
      </c>
      <c r="AO21" s="540">
        <f>IF(ISNUMBER(STDEV(AO8:AO18)),STDEV(AO8:AO18),"-")</f>
        <v>3.0313506300165551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fG6frMMYr4g7uV5Mgoa7GWeqiiTqWdMnwuuubqXGNNgKY38/L6sAI1/eCzmcCfEV3Cvyj0KR3b6fl0A6NfzE1w==" saltValue="Lb6K7tY1K6Q7z/OXc58k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7eL0t8u2A5NBB3k8fvtdbH2fTDRaAmJ+2n7vgfMUoRkLQJLitUqCA78GfWP7MkrMg3o1JulJa6XJIOp0mfcljg==" saltValue="uvkffRj7yWpdr1tsH35q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M2TqygqufJrwM9fOv672e5wWMts+jnjTAUTaZ0gouPnsRqxCeRswqmxzuHeirrxTgWkbwTyZnNMJY7VrdVV1w==" saltValue="irIumDGVxFfICUtw1yPjj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ESPLUGUES DE LLOBREGAT</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0.15280665280665282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0.10805062041000259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hIBWi7JZhrGobAm0Rm/gOelRX+y4iSNWVAkTO+z8ig/m1ks3coq2zT6/SQQxjDmDZqokODnmrOHl18ka9cjevw==" saltValue="QyCVK3ambhTC8FO6L0GZz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ErpYRfNN801F3yLNIq36+cV7473JT8kh/YT5a0F3NL/Um0V53Z2VibTsOvMsPxkho3onv6fC7V44oihKa6znaA==" saltValue="aVIPf3oPYGahcIKi6DqD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ESPLUGUES DE LLOBREGAT</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34</v>
      </c>
      <c r="D10" s="404">
        <f>IF(ISNUMBER(C10/Datos!BH10),C10/Datos!BH10," - ")</f>
        <v>34</v>
      </c>
      <c r="E10" s="403">
        <f>IF(ISNUMBER(Datos!J10),Datos!J10," - ")</f>
        <v>8</v>
      </c>
      <c r="F10" s="404">
        <f>IF(ISNUMBER(E10/B10),E10/B10," - ")</f>
        <v>8</v>
      </c>
      <c r="G10" s="403">
        <f>IF(ISNUMBER(Datos!K10),Datos!K10," - ")</f>
        <v>10</v>
      </c>
      <c r="H10" s="404">
        <f>IF(ISNUMBER(G10/B10),G10/B10," - ")</f>
        <v>10</v>
      </c>
      <c r="I10" s="403">
        <f>IF(ISNUMBER(Datos!L10),Datos!L10," - ")</f>
        <v>32</v>
      </c>
      <c r="J10" s="404">
        <f>IF(ISNUMBER(I10/B10),I10/B10," - ")</f>
        <v>32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2047</v>
      </c>
      <c r="D12" s="404">
        <f>IF(ISNUMBER(C12/Datos!BH12),C12/Datos!BH12," - ")</f>
        <v>682.33333333333337</v>
      </c>
      <c r="E12" s="403">
        <f>IF(ISNUMBER(IF(J_V="SI",Datos!J12,Datos!J12+Datos!Z12)),IF(J_V="SI",Datos!J12,Datos!J12+Datos!Z12)," - ")</f>
        <v>891</v>
      </c>
      <c r="F12" s="404">
        <f>IF(ISNUMBER(E12/B12),E12/B12," - ")</f>
        <v>297</v>
      </c>
      <c r="G12" s="403">
        <f>IF(ISNUMBER(IF(J_V="SI",Datos!K12,Datos!K12+Datos!AA12)),IF(J_V="SI",Datos!K12,Datos!K12+Datos!AA12)," - ")</f>
        <v>952</v>
      </c>
      <c r="H12" s="404">
        <f>IF(ISNUMBER(G12/B12),G12/B12," - ")</f>
        <v>317.33333333333331</v>
      </c>
      <c r="I12" s="403">
        <f>IF(ISNUMBER(IF(J_V="SI",Datos!L12,Datos!L12+Datos!AB12)),IF(J_V="SI",Datos!L12,Datos!L12+Datos!AB12)," - ")</f>
        <v>1986</v>
      </c>
      <c r="J12" s="404">
        <f>IF(ISNUMBER(I12/B12),I12/B12," - ")</f>
        <v>662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2081</v>
      </c>
      <c r="D13" s="850" t="str">
        <f>IF(ISNUMBER(C13/Datos!BI13),C13/Datos!BI13," - ")</f>
        <v xml:space="preserve"> - </v>
      </c>
      <c r="E13" s="849">
        <f>SUBTOTAL(9,E8:E12)</f>
        <v>899</v>
      </c>
      <c r="F13" s="850">
        <f>IF(ISNUMBER(E13/B13),E13/B13," - ")</f>
        <v>299.66666666666669</v>
      </c>
      <c r="G13" s="849">
        <f>SUBTOTAL(9,G8:G12)</f>
        <v>962</v>
      </c>
      <c r="H13" s="850">
        <f>IF(ISNUMBER(G13/B13),G13/B13," - ")</f>
        <v>320.66666666666669</v>
      </c>
      <c r="I13" s="849">
        <f>SUBTOTAL(9,I8:I12)</f>
        <v>2018</v>
      </c>
      <c r="J13" s="850">
        <f>IF(ISNUMBER(I13/B13),I13/B13," - ")</f>
        <v>672.66666666666663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1005</v>
      </c>
      <c r="D16" s="404">
        <f>IF(ISNUMBER(C16/Datos!BH16),C16/Datos!BH16," - ")</f>
        <v>335</v>
      </c>
      <c r="E16" s="403">
        <f>IF(ISNUMBER(IF(D_I="SI",Datos!J16,Datos!J16+Datos!AD16)),IF(D_I="SI",Datos!J16,Datos!J16+Datos!AD16)," - ")</f>
        <v>986</v>
      </c>
      <c r="F16" s="404">
        <f>IF(ISNUMBER(E16/B16),E16/B16," - ")</f>
        <v>328.66666666666669</v>
      </c>
      <c r="G16" s="403">
        <f>IF(ISNUMBER(IF(D_I="SI",Datos!K16,Datos!K16+Datos!AE16)),IF(D_I="SI",Datos!K16,Datos!K16+Datos!AE16)," - ")</f>
        <v>918</v>
      </c>
      <c r="H16" s="404">
        <f>IF(ISNUMBER(G16/B16),G16/B16," - ")</f>
        <v>306</v>
      </c>
      <c r="I16" s="403">
        <f>IF(ISNUMBER(IF(D_I="SI",Datos!L16,Datos!L16+Datos!AF16)),IF(D_I="SI",Datos!L16,Datos!L16+Datos!AF16)," - ")</f>
        <v>1088</v>
      </c>
      <c r="J16" s="404">
        <f>IF(ISNUMBER(I16/B16),I16/B16," - ")</f>
        <v>362.66666666666669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202</v>
      </c>
      <c r="D17" s="404">
        <f>IF(ISNUMBER(C17/Datos!BH17),C17/Datos!BH17," - ")</f>
        <v>202</v>
      </c>
      <c r="E17" s="403">
        <f>IF(ISNUMBER(IF(D_I="SI",Datos!J17,Datos!J17+Datos!AD17)),IF(D_I="SI",Datos!J17,Datos!J17+Datos!AD17)," - ")</f>
        <v>53</v>
      </c>
      <c r="F17" s="404">
        <f>IF(ISNUMBER(E17/B17),E17/B17," - ")</f>
        <v>53</v>
      </c>
      <c r="G17" s="403">
        <f>IF(ISNUMBER(IF(D_I="SI",Datos!K17,Datos!K17+Datos!AE17)),IF(D_I="SI",Datos!K17,Datos!K17+Datos!AE17)," - ")</f>
        <v>54</v>
      </c>
      <c r="H17" s="404">
        <f>IF(ISNUMBER(G17/B17),G17/B17," - ")</f>
        <v>54</v>
      </c>
      <c r="I17" s="403">
        <f>IF(ISNUMBER(IF(D_I="SI",Datos!L17,Datos!L17+Datos!AF17)),IF(D_I="SI",Datos!L17,Datos!L17+Datos!AF17)," - ")</f>
        <v>201</v>
      </c>
      <c r="J17" s="404">
        <f>IF(ISNUMBER(I17/B17),I17/B17," - ")</f>
        <v>201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1207</v>
      </c>
      <c r="D18" s="850" t="str">
        <f>IF(ISNUMBER(C18/Datos!BI18),C18/Datos!BI18," - ")</f>
        <v xml:space="preserve"> - </v>
      </c>
      <c r="E18" s="849">
        <f>SUBTOTAL(9,E14:E17)</f>
        <v>1039</v>
      </c>
      <c r="F18" s="850">
        <f>IF(ISNUMBER(E18/B18),E18/B18," - ")</f>
        <v>346.33333333333331</v>
      </c>
      <c r="G18" s="849">
        <f>SUBTOTAL(9,G14:G17)</f>
        <v>972</v>
      </c>
      <c r="H18" s="850">
        <f>IF(ISNUMBER(G18/B18),G18/B18," - ")</f>
        <v>324</v>
      </c>
      <c r="I18" s="849">
        <f>SUBTOTAL(9,I14:I17)</f>
        <v>1289</v>
      </c>
      <c r="J18" s="850">
        <f>IF(ISNUMBER(I18/B18),I18/B18," - ")</f>
        <v>429.66666666666669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3288</v>
      </c>
      <c r="D19" s="795" t="str">
        <f>IF(ISNUMBER(C19/Datos!BI19),C19/Datos!BI19," - ")</f>
        <v xml:space="preserve"> - </v>
      </c>
      <c r="E19" s="794">
        <f>SUBTOTAL(9,E9:E18)</f>
        <v>1938</v>
      </c>
      <c r="F19" s="795">
        <f>IF(ISNUMBER(E19/B19),E19/B19," - ")</f>
        <v>646</v>
      </c>
      <c r="G19" s="794">
        <f>SUBTOTAL(9,G9:G18)</f>
        <v>1934</v>
      </c>
      <c r="H19" s="795">
        <f>IF(ISNUMBER(G19/B19),G19/B19," - ")</f>
        <v>644.66666666666663</v>
      </c>
      <c r="I19" s="794">
        <f>SUBTOTAL(9,I9:I18)</f>
        <v>3307</v>
      </c>
      <c r="J19" s="795">
        <f>IF(ISNUMBER(I19/B19),I19/B19," - ")</f>
        <v>1102.3333333333333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doeV4LQK4Q+jKR8RLywdFE3umQKBzJo4xLCfAKhf8ShqmDcDrgiwxCxYQSEBCFm9Vdal3t7w4h4b9eW7oLr7pw==" saltValue="yDTCImC65F7zDX1noG31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ESPLUGUES DE LLOBREGAT</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34</v>
      </c>
      <c r="G10" s="684">
        <f>IF(ISNUMBER(Datos!I10),Datos!I10," - ")</f>
        <v>34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9.6000000000000014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2325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144</v>
      </c>
      <c r="AM12" s="690">
        <f>IF(ISNUMBER(Datos!N12+DatosP!N16),Datos!N12+DatosP!N16," - ")</f>
        <v>425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6.2584033613445387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-4.2826552462526769E-3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34</v>
      </c>
      <c r="G13" s="938">
        <f t="shared" si="0"/>
        <v>34</v>
      </c>
      <c r="H13" s="938">
        <f t="shared" si="0"/>
        <v>0</v>
      </c>
      <c r="I13" s="940">
        <f t="shared" si="0"/>
        <v>0</v>
      </c>
      <c r="J13" s="939">
        <f t="shared" si="0"/>
        <v>0</v>
      </c>
      <c r="K13" s="939">
        <f t="shared" si="0"/>
        <v>0</v>
      </c>
      <c r="L13" s="941">
        <f t="shared" si="0"/>
        <v>0</v>
      </c>
      <c r="M13" s="941">
        <f t="shared" si="0"/>
        <v>0</v>
      </c>
      <c r="N13" s="939">
        <f t="shared" si="0"/>
        <v>101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111</v>
      </c>
      <c r="AE13" s="939">
        <f t="shared" si="1"/>
        <v>0</v>
      </c>
      <c r="AF13" s="939">
        <f t="shared" si="1"/>
        <v>32</v>
      </c>
      <c r="AG13" s="939">
        <f t="shared" si="1"/>
        <v>0</v>
      </c>
      <c r="AH13" s="939">
        <f t="shared" si="1"/>
        <v>2325</v>
      </c>
      <c r="AI13" s="939">
        <f t="shared" si="1"/>
        <v>0</v>
      </c>
      <c r="AJ13" s="939">
        <f t="shared" si="1"/>
        <v>0</v>
      </c>
      <c r="AK13" s="939">
        <f t="shared" si="1"/>
        <v>0</v>
      </c>
      <c r="AL13" s="939">
        <f t="shared" si="1"/>
        <v>147</v>
      </c>
      <c r="AM13" s="939">
        <f t="shared" si="1"/>
        <v>426</v>
      </c>
      <c r="AN13" s="939">
        <f t="shared" si="1"/>
        <v>0</v>
      </c>
      <c r="AO13" s="939">
        <f t="shared" si="1"/>
        <v>0</v>
      </c>
      <c r="AP13" s="944">
        <f>IF(ISNUMBER(((Datos!L13/Datos!K13)*11)/factor_trimestre),((Datos!L13/Datos!K13)*11)/factor_trimestre," - ")</f>
        <v>7.4484076433121027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-0.29411764705882354</v>
      </c>
      <c r="AU13" s="939" t="str">
        <f>IF(ISNUMBER((DatosP!#REF!-DatosP!#REF!+DatosP!#REF!)/(DatosP!#REF!+DatosP!#REF!-DatosP!#REF!-DatosP!#REF!)),(DatosP!#REF!-DatosP!#REF!+DatosP!#REF!)/(DatosP!#REF!+DatosP!#REF!-DatosP!#REF!-DatosP!#REF!)," - ")</f>
        <v xml:space="preserve"> - </v>
      </c>
      <c r="AV13" s="945">
        <f>SUBTOTAL(9,AV9:AV12)</f>
        <v>-4.2826552462526769E-3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3.9783950617283956</v>
      </c>
      <c r="AQ18" s="944">
        <f>IF(ISNUMBER(((Datos!M18/Datos!L18)*11)/factor_trimestre),((Datos!M18/Datos!L18)*11)/factor_trimestre," - ")</f>
        <v>0.3235065942591156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8.4033613445378148E-3</v>
      </c>
      <c r="AW18" s="946">
        <f>IF(ISNUMBER((Datos!Q18-Datos!R18)/(Datos!S18-Datos!Q18+Datos!R18)),(Datos!Q18-Datos!R18)/(Datos!S18-Datos!Q18+Datos!R18)," - ")</f>
        <v>-6.9153069153069152E-2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34</v>
      </c>
      <c r="G19" s="951">
        <f t="shared" si="4"/>
        <v>34</v>
      </c>
      <c r="H19" s="951">
        <f t="shared" si="4"/>
        <v>0</v>
      </c>
      <c r="I19" s="952">
        <f t="shared" si="4"/>
        <v>0</v>
      </c>
      <c r="J19" s="953">
        <f t="shared" si="4"/>
        <v>0</v>
      </c>
      <c r="K19" s="953">
        <f t="shared" si="4"/>
        <v>0</v>
      </c>
      <c r="L19" s="953">
        <f t="shared" si="4"/>
        <v>0</v>
      </c>
      <c r="M19" s="953">
        <f t="shared" si="4"/>
        <v>0</v>
      </c>
      <c r="N19" s="952">
        <f t="shared" si="4"/>
        <v>101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111</v>
      </c>
      <c r="AE19" s="957">
        <f t="shared" si="5"/>
        <v>0</v>
      </c>
      <c r="AF19" s="958">
        <f t="shared" si="5"/>
        <v>32</v>
      </c>
      <c r="AG19" s="958">
        <f t="shared" si="5"/>
        <v>0</v>
      </c>
      <c r="AH19" s="958">
        <f t="shared" si="5"/>
        <v>2325</v>
      </c>
      <c r="AI19" s="958">
        <f t="shared" si="5"/>
        <v>0</v>
      </c>
      <c r="AJ19" s="959">
        <f t="shared" si="5"/>
        <v>0</v>
      </c>
      <c r="AK19" s="959">
        <f t="shared" si="5"/>
        <v>0</v>
      </c>
      <c r="AL19" s="951">
        <f t="shared" si="5"/>
        <v>147</v>
      </c>
      <c r="AM19" s="951">
        <f t="shared" si="5"/>
        <v>426</v>
      </c>
      <c r="AN19" s="951">
        <f t="shared" si="5"/>
        <v>0</v>
      </c>
      <c r="AO19" s="951">
        <f t="shared" si="5"/>
        <v>0</v>
      </c>
      <c r="AP19" s="951">
        <f>IF(ISNUMBER(((Datos!L19/Datos!K19)*11)/factor_trimestre),((Datos!L19/Datos!K19)*11)/factor_trimestre," - ")</f>
        <v>5.5287421741605014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-0.29411764705882354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-4.0600893219650833E-3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22.666666666666668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19.629909152447276</v>
      </c>
      <c r="G21" s="737">
        <f>IF(ISNUMBER(STDEV(G8:G18)),STDEV(G8:G18),"-")</f>
        <v>19.629909152447276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83.156479001939474</v>
      </c>
      <c r="AM21" s="736"/>
      <c r="AN21" s="736">
        <f>IF(ISNUMBER(STDEV(AN8:AN18)),STDEV(AN8:AN18),"-")</f>
        <v>0</v>
      </c>
      <c r="AO21" s="742">
        <f>IF(ISNUMBER(STDEV(AO8:AO18)),STDEV(AO8:AO18),"-")</f>
        <v>0</v>
      </c>
      <c r="AP21" s="779">
        <f>IF(ISNUMBER(STDEV(AP8:AP18)),STDEV(AP8:AP18),"-")</f>
        <v>2.3461598979431608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KG6C1PtNeEqPLYo3rFE9H9w5hlqfhxVk6m9h/Q+K2DeYFbKnSC+w68W1S9drOu3c7zJqm5x+SqLEiugbyTMm5A==" saltValue="2WYh5/4LM+94N5spvpJ4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ESPLUGUES DE LLOBREGAT</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GOPVp+nPY/bkypDOMrE6VyqudW+jeSNVzzvEH7dcw21gg+okVBIXEgWWO4i7kGBLgZTaa+fG42ASLEapkm9uCg==" saltValue="Dmwczgj5NqPW2IPOqNVm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ESPLUGUES DE LLOBREGAT</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1</v>
      </c>
      <c r="G10" s="404">
        <f>IF(ISNUMBER(F10/B10),F10/B10," - ")</f>
        <v>1</v>
      </c>
      <c r="H10" s="403">
        <f>IF(ISNUMBER(Datos!O10),Datos!O10," - ")</f>
        <v>2</v>
      </c>
      <c r="I10" s="404">
        <f t="shared" ref="I10:I12" si="2">IF(ISNUMBER(H10/B10),H10/B10," - ")</f>
        <v>2</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144</v>
      </c>
      <c r="E12" s="404">
        <f t="shared" si="0"/>
        <v>48</v>
      </c>
      <c r="F12" s="403">
        <f>IF(ISNUMBER(Datos!N12),Datos!N12," - ")</f>
        <v>425</v>
      </c>
      <c r="G12" s="404">
        <f t="shared" si="1"/>
        <v>141.66666666666666</v>
      </c>
      <c r="H12" s="403">
        <f>IF(ISNUMBER(Datos!O12),Datos!O12," - ")</f>
        <v>366</v>
      </c>
      <c r="I12" s="404">
        <f t="shared" si="2"/>
        <v>122</v>
      </c>
    </row>
    <row r="13" spans="1:9" ht="14.25" thickTop="1" thickBot="1">
      <c r="A13" s="848" t="str">
        <f>Datos!A13</f>
        <v>TOTAL</v>
      </c>
      <c r="B13" s="849">
        <f>Datos!AO13</f>
        <v>4</v>
      </c>
      <c r="C13" s="851">
        <f>Datos!AR13</f>
        <v>3</v>
      </c>
      <c r="D13" s="849">
        <f>SUBTOTAL(9,D9:D12)</f>
        <v>147</v>
      </c>
      <c r="E13" s="850">
        <f t="shared" si="0"/>
        <v>36.75</v>
      </c>
      <c r="F13" s="849">
        <f>SUBTOTAL(9,F9:F12)</f>
        <v>426</v>
      </c>
      <c r="G13" s="850">
        <f t="shared" si="1"/>
        <v>106.5</v>
      </c>
      <c r="H13" s="849">
        <f>SUBTOTAL(9,H9:H12)</f>
        <v>368</v>
      </c>
      <c r="I13" s="850">
        <f>IF(ISNUMBER(H13/B13),H13/B13," - ")</f>
        <v>92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133</v>
      </c>
      <c r="E16" s="404">
        <f t="shared" si="3"/>
        <v>44.333333333333336</v>
      </c>
      <c r="F16" s="403">
        <f>IF(ISNUMBER(Datos!N16),Datos!N16," - ")</f>
        <v>640</v>
      </c>
      <c r="G16" s="404">
        <f t="shared" si="4"/>
        <v>213.33333333333334</v>
      </c>
      <c r="H16" s="403">
        <f>IF(ISNUMBER(Datos!O16),Datos!O16," - ")</f>
        <v>8</v>
      </c>
      <c r="I16" s="404">
        <f t="shared" si="5"/>
        <v>2.6666666666666665</v>
      </c>
    </row>
    <row r="17" spans="1:9" ht="13.5" thickBot="1">
      <c r="A17" s="402" t="str">
        <f>Datos!A17</f>
        <v>Jdos. Violencia contra la mujer</v>
      </c>
      <c r="B17" s="427">
        <f>Datos!AO17</f>
        <v>1</v>
      </c>
      <c r="C17" s="428">
        <f>Datos!AQ17</f>
        <v>0</v>
      </c>
      <c r="D17" s="403">
        <f>IF(ISNUMBER(Datos!M17),Datos!M17," - ")</f>
        <v>6</v>
      </c>
      <c r="E17" s="404">
        <f>IF(ISNUMBER(D17/B17),D17/B17," - ")</f>
        <v>6</v>
      </c>
      <c r="F17" s="403">
        <f>IF(ISNUMBER(Datos!N17),Datos!N17," - ")</f>
        <v>58</v>
      </c>
      <c r="G17" s="404">
        <f>IF(ISNUMBER(F17/B17),F17/B17," - ")</f>
        <v>58</v>
      </c>
      <c r="H17" s="403">
        <f>IF(ISNUMBER(Datos!O17),Datos!O17," - ")</f>
        <v>0</v>
      </c>
      <c r="I17" s="404">
        <f t="shared" si="5"/>
        <v>0</v>
      </c>
    </row>
    <row r="18" spans="1:9" ht="14.25" thickTop="1" thickBot="1">
      <c r="A18" s="848" t="str">
        <f>Datos!A18</f>
        <v>TOTAL</v>
      </c>
      <c r="B18" s="849">
        <f>Datos!AO18</f>
        <v>4</v>
      </c>
      <c r="C18" s="851">
        <f>Datos!AR18</f>
        <v>3</v>
      </c>
      <c r="D18" s="849">
        <f>SUBTOTAL(9,D15:D17)</f>
        <v>139</v>
      </c>
      <c r="E18" s="850">
        <f t="shared" si="3"/>
        <v>34.75</v>
      </c>
      <c r="F18" s="849">
        <f>SUBTOTAL(9,F15:F17)</f>
        <v>698</v>
      </c>
      <c r="G18" s="850">
        <f t="shared" si="4"/>
        <v>174.5</v>
      </c>
      <c r="H18" s="849">
        <f>SUBTOTAL(9,H15:H17)</f>
        <v>8</v>
      </c>
      <c r="I18" s="850">
        <f>IF(ISNUMBER(H18/B18),H18/B18," - ")</f>
        <v>2</v>
      </c>
    </row>
    <row r="19" spans="1:9" ht="14.25" thickTop="1" thickBot="1">
      <c r="A19" s="793" t="str">
        <f>Datos!A19</f>
        <v>TOTAL JURISDICCIONES</v>
      </c>
      <c r="B19" s="794">
        <f>Datos!AP19</f>
        <v>3</v>
      </c>
      <c r="C19" s="794">
        <f>Datos!AR19</f>
        <v>3</v>
      </c>
      <c r="D19" s="794">
        <f>SUBTOTAL(9,D8:D18)</f>
        <v>286</v>
      </c>
      <c r="E19" s="795">
        <f>IF(ISNUMBER(D19/B19),D19/B19," - ")</f>
        <v>95.333333333333329</v>
      </c>
      <c r="F19" s="794">
        <f>SUBTOTAL(9,F8:F18)</f>
        <v>1124</v>
      </c>
      <c r="G19" s="795">
        <f>IF(ISNUMBER(F19/B19),F19/B19," - ")</f>
        <v>374.66666666666669</v>
      </c>
      <c r="H19" s="794">
        <f>SUBTOTAL(9,H8:H18)</f>
        <v>376</v>
      </c>
      <c r="I19" s="795">
        <f>IF(ISNUMBER(H19/B19),H19/B19," - ")</f>
        <v>125.33333333333333</v>
      </c>
    </row>
    <row r="22" spans="1:9">
      <c r="A22" s="391" t="str">
        <f>Criterios!A4</f>
        <v>Fecha Informe: 29 may. 2024</v>
      </c>
    </row>
    <row r="27" spans="1:9">
      <c r="A27" s="414"/>
    </row>
  </sheetData>
  <sheetProtection algorithmName="SHA-512" hashValue="UrRGSq5NnsY75DeN6Z4PbWNhf2TkZFoFcvSZ+px3gBABTrDnCPtRMSVVSo77Lhvnt1TFZQCcglrhKQsUjQ/wFg==" saltValue="Te7MBOvZTaVx4ZUzgcF7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ESPLUGUES DE LLOBREGAT</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101</v>
      </c>
      <c r="C12" s="434">
        <f>IF(ISNUMBER(Datos!Q12),Datos!Q12," - ")</f>
        <v>111</v>
      </c>
      <c r="D12" s="408">
        <f>IF(ISNUMBER(Datos!R12),Datos!R12," - ")</f>
        <v>2325</v>
      </c>
    </row>
    <row r="13" spans="1:4" ht="14.25" thickTop="1" thickBot="1">
      <c r="A13" s="848" t="str">
        <f>Datos!A13</f>
        <v>TOTAL</v>
      </c>
      <c r="B13" s="849">
        <f>SUBTOTAL(9,B9:B12)</f>
        <v>101</v>
      </c>
      <c r="C13" s="853">
        <f>SUBTOTAL(9,C9:C12)</f>
        <v>112</v>
      </c>
      <c r="D13" s="851">
        <f>SUBTOTAL(9,D9:D12)</f>
        <v>2333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30</v>
      </c>
      <c r="C16" s="434">
        <f>IF(ISNUMBER(Datos!Q16),Datos!Q16," - ")</f>
        <v>27</v>
      </c>
      <c r="D16" s="408">
        <f>IF(ISNUMBER(Datos!R16),Datos!R16," - ")</f>
        <v>120</v>
      </c>
    </row>
    <row r="17" spans="1:4" ht="13.5" thickBot="1">
      <c r="A17" s="402" t="str">
        <f>Datos!A17</f>
        <v>Jdos. Violencia contra la mujer</v>
      </c>
      <c r="B17" s="433">
        <f>IF(ISNUMBER(Datos!P17),Datos!P17," - ")</f>
        <v>2</v>
      </c>
      <c r="C17" s="434">
        <f>IF(ISNUMBER(Datos!Q17),Datos!Q17," - ")</f>
        <v>4</v>
      </c>
      <c r="D17" s="408">
        <f>IF(ISNUMBER(Datos!R17),Datos!R17," - ")</f>
        <v>0</v>
      </c>
    </row>
    <row r="18" spans="1:4" ht="14.25" thickTop="1" thickBot="1">
      <c r="A18" s="848" t="str">
        <f>Datos!A18</f>
        <v>TOTAL</v>
      </c>
      <c r="B18" s="849">
        <f>SUBTOTAL(9,B15:B17)</f>
        <v>32</v>
      </c>
      <c r="C18" s="853">
        <f>SUBTOTAL(9,C15:C17)</f>
        <v>31</v>
      </c>
      <c r="D18" s="851">
        <f>SUBTOTAL(9,D15:D17)</f>
        <v>120</v>
      </c>
    </row>
    <row r="19" spans="1:4" ht="16.5" customHeight="1" thickTop="1" thickBot="1">
      <c r="A19" s="793" t="str">
        <f>Datos!A19</f>
        <v>TOTAL JURISDICCIONES</v>
      </c>
      <c r="B19" s="798">
        <f>SUBTOTAL(9,B8:B18)</f>
        <v>133</v>
      </c>
      <c r="C19" s="799">
        <f>SUBTOTAL(9,C8:C18)</f>
        <v>143</v>
      </c>
      <c r="D19" s="800">
        <f>SUBTOTAL(9,D8:D18)</f>
        <v>2453</v>
      </c>
    </row>
    <row r="20" spans="1:4" ht="7.5" customHeight="1"/>
    <row r="21" spans="1:4" ht="6" customHeight="1"/>
    <row r="22" spans="1:4">
      <c r="A22" s="391" t="str">
        <f>Criterios!A4</f>
        <v>Fecha Informe: 29 may. 2024</v>
      </c>
    </row>
    <row r="27" spans="1:4">
      <c r="A27" s="414"/>
    </row>
  </sheetData>
  <sheetProtection algorithmName="SHA-512" hashValue="UifVqHEp7s8dHzDGk8gDjwgWQukLShp6sJeCjjmfcZg2RPA//mL2ObkB6S2quxUi3m9DQi3Pb5Hs/63JuZeM/Q==" saltValue="5+Szns8Dksol4lqSLg23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ESPLUGUES DE LLOBREGAT</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0.13333333333333333</v>
      </c>
      <c r="C10" s="456">
        <f>IF(ISNUMBER((Datos!J10-Datos!T10)/Datos!T10),(Datos!J10-Datos!T10)/Datos!T10," - ")</f>
        <v>0.6</v>
      </c>
      <c r="D10" s="456">
        <f>IF(ISNUMBER((Datos!K10-Datos!U10)/Datos!U10),(Datos!K10-Datos!U10)/Datos!U10," - ")</f>
        <v>0.66666666666666663</v>
      </c>
      <c r="E10" s="456">
        <f>IF(ISNUMBER((Datos!L10-Datos!V10)/Datos!V10),(Datos!L10-Datos!V10)/Datos!V10," - ")</f>
        <v>0.10344827586206896</v>
      </c>
      <c r="F10" s="456">
        <f>IF(ISNUMBER((Datos!M10-Datos!W10)/Datos!W10),(Datos!M10-Datos!W10)/Datos!W10," - ")</f>
        <v>-0.25</v>
      </c>
      <c r="G10" s="457">
        <f>IF(ISNUMBER((Datos!N10-Datos!X10)/Datos!X10),(Datos!N10-Datos!X10)/Datos!X10," - ")</f>
        <v>0</v>
      </c>
      <c r="H10" s="455">
        <f>IF(ISNUMBER(((NºAsuntos!G10/NºAsuntos!E10)-Datos!BD10)/Datos!BD10),((NºAsuntos!G10/NºAsuntos!E10)-Datos!BD10)/Datos!BD10," - ")</f>
        <v>4.1666666666666706E-2</v>
      </c>
      <c r="I10" s="456">
        <f>IF(ISNUMBER(((NºAsuntos!I10/NºAsuntos!G10)-Datos!BE10)/Datos!BE10),((NºAsuntos!I10/NºAsuntos!G10)-Datos!BE10)/Datos!BE10," - ")</f>
        <v>-0.33793103448275852</v>
      </c>
      <c r="J10" s="461">
        <f>IF(ISNUMBER((('Resol  Asuntos'!D10/NºAsuntos!G10)-Datos!BF10)/Datos!BF10),(('Resol  Asuntos'!D10/NºAsuntos!G10)-Datos!BF10)/Datos!BF10," - ")</f>
        <v>-0.55000000000000004</v>
      </c>
      <c r="K10" s="462">
        <f>IF(ISNUMBER((((NºAsuntos!C10+NºAsuntos!E10)/NºAsuntos!G10)-Datos!BG10)/Datos!BG10),(((NºAsuntos!C10+NºAsuntos!E10)/NºAsuntos!G10)-Datos!BG10)/Datos!BG10," - ")</f>
        <v>-0.27999999999999992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0.19988276670574442</v>
      </c>
      <c r="C12" s="456">
        <f>IF(ISNUMBER(
   IF(J_V="SI",(Datos!J12-Datos!T12)/Datos!T12,(Datos!J12+Datos!Z12-(Datos!T12+Datos!AH12))/(Datos!T12+Datos!AH12))
     ),IF(J_V="SI",(Datos!J12-Datos!T12)/Datos!T12,(Datos!J12+Datos!Z12-(Datos!T12+Datos!AH12))/(Datos!T12+Datos!AH12))," - ")</f>
        <v>-0.14244465832531281</v>
      </c>
      <c r="D12" s="456">
        <f>IF(ISNUMBER(
   IF(J_V="SI",(Datos!K12-Datos!U12)/Datos!U12,(Datos!K12+Datos!AA12-(Datos!U12+Datos!AI12))/(Datos!U12+Datos!AI12))
     ),IF(J_V="SI",(Datos!K12-Datos!U12)/Datos!U12,(Datos!K12+Datos!AA12-(Datos!U12+Datos!AI12))/(Datos!U12+Datos!AI12))," - ")</f>
        <v>3.8167938931297711E-2</v>
      </c>
      <c r="E12" s="456">
        <f>IF(ISNUMBER(
   IF(J_V="SI",(Datos!L12-Datos!V12)/Datos!V12,(Datos!L12+Datos!AB12-(Datos!V12+Datos!AJ12))/(Datos!V12+Datos!AJ12))
     ),IF(J_V="SI",(Datos!L12-Datos!V12)/Datos!V12,(Datos!L12+Datos!AB12-(Datos!V12+Datos!AJ12))/(Datos!V12+Datos!AJ12))," - ")</f>
        <v>8.6433260393873085E-2</v>
      </c>
      <c r="F12" s="456">
        <f>IF(ISNUMBER((Datos!M12-Datos!W12)/Datos!W12),(Datos!M12-Datos!W12)/Datos!W12," - ")</f>
        <v>-0.2087912087912088</v>
      </c>
      <c r="G12" s="457">
        <f>IF(ISNUMBER((Datos!N12-Datos!X12)/Datos!X12),(Datos!N12-Datos!X12)/Datos!X12," - ")</f>
        <v>-4.49438202247191E-2</v>
      </c>
      <c r="H12" s="455">
        <f>IF(ISNUMBER(((NºAsuntos!G12/NºAsuntos!E12)-Datos!BD12)/Datos!BD12),((NºAsuntos!G12/NºAsuntos!E12)-Datos!BD12)/Datos!BD12," - ")</f>
        <v>0.21061334292886461</v>
      </c>
      <c r="I12" s="456">
        <f>IF(ISNUMBER(((NºAsuntos!I12/NºAsuntos!G12)-Datos!BE12)/Datos!BE12),((NºAsuntos!I12/NºAsuntos!G12)-Datos!BE12)/Datos!BE12," - ")</f>
        <v>4.6490861114686602E-2</v>
      </c>
      <c r="J12" s="461">
        <f>IF(ISNUMBER((('Resol  Asuntos'!D12/NºAsuntos!G12)-Datos!BF12)/Datos!BF12),(('Resol  Asuntos'!D12/NºAsuntos!G12)-Datos!BF12)/Datos!BF12," - ")</f>
        <v>-0.68830138797091878</v>
      </c>
      <c r="K12" s="462">
        <f>IF(ISNUMBER((((NºAsuntos!C12+NºAsuntos!E12)/NºAsuntos!G12)-Datos!BG12)/Datos!BG12),(((NºAsuntos!C12+NºAsuntos!E12)/NºAsuntos!G12)-Datos!BG12)/Datos!BG12," - ")</f>
        <v>3.0960034286938835E-2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0.19873271889400923</v>
      </c>
      <c r="C13" s="855">
        <f>IF(ISNUMBER(
   IF(J_V="SI",(Datos!J13-Datos!T13)/Datos!T13,(Datos!J13+Datos!Z13-(Datos!T13+Datos!AH13))/(Datos!T13+Datos!AH13))
     ),IF(J_V="SI",(Datos!J13-Datos!T13)/Datos!T13,(Datos!J13+Datos!Z13-(Datos!T13+Datos!AH13))/(Datos!T13+Datos!AH13))," - ")</f>
        <v>-0.1388888888888889</v>
      </c>
      <c r="D13" s="855">
        <f>IF(ISNUMBER(
   IF(J_V="SI",(Datos!K13-Datos!U13)/Datos!U13,(Datos!K13+Datos!AA13-(Datos!U13+Datos!AI13))/(Datos!U13+Datos!AI13))
     ),IF(J_V="SI",(Datos!K13-Datos!U13)/Datos!U13,(Datos!K13+Datos!AA13-(Datos!U13+Datos!AI13))/(Datos!U13+Datos!AI13))," - ")</f>
        <v>4.2253521126760563E-2</v>
      </c>
      <c r="E13" s="855">
        <f>IF(ISNUMBER(
   IF(J_V="SI",(Datos!L13-Datos!V13)/Datos!V13,(Datos!L13+Datos!AB13-(Datos!V13+Datos!AJ13))/(Datos!V13+Datos!AJ13))
     ),IF(J_V="SI",(Datos!L13-Datos!V13)/Datos!V13,(Datos!L13+Datos!AB13-(Datos!V13+Datos!AJ13))/(Datos!V13+Datos!AJ13))," - ")</f>
        <v>8.6698976844372638E-2</v>
      </c>
      <c r="F13" s="856">
        <f>IF(ISNUMBER((Datos!M13-Datos!W13)/Datos!W13),(Datos!M13-Datos!W13)/Datos!W13," - ")</f>
        <v>-0.20967741935483872</v>
      </c>
      <c r="G13" s="857">
        <f>IF(ISNUMBER((Datos!N13-Datos!X13)/Datos!X13),(Datos!N13-Datos!X13)/Datos!X13," - ")</f>
        <v>-4.4843049327354258E-2</v>
      </c>
      <c r="H13" s="857">
        <f>IF(ISNUMBER(((NºAsuntos!G13/NºAsuntos!E13)-Datos!BD13)/Datos!BD13),((NºAsuntos!G13/NºAsuntos!E13)-Datos!BD13)/Datos!BD13," - ")</f>
        <v>0.21035892776010909</v>
      </c>
      <c r="I13" s="857">
        <f>IF(ISNUMBER(((NºAsuntos!I13/NºAsuntos!G13)-Datos!BE13)/Datos!BE13),((NºAsuntos!I13/NºAsuntos!G13)-Datos!BE13)/Datos!BE13," - ")</f>
        <v>4.2643612918249363E-2</v>
      </c>
      <c r="J13" s="857">
        <f>IF(ISNUMBER((('Resol  Asuntos'!D13/NºAsuntos!G13)-Datos!BF13)/Datos!BF13),(('Resol  Asuntos'!D13/NºAsuntos!G13)-Datos!BF13)/Datos!BF13," - ")</f>
        <v>-0.68587852886293876</v>
      </c>
      <c r="K13" s="857">
        <f>IF(ISNUMBER((((NºAsuntos!C13+NºAsuntos!E13)/NºAsuntos!G13)-Datos!BG13)/Datos!BG13),(((NºAsuntos!C13+NºAsuntos!E13)/NºAsuntos!G13)-Datos!BG13)/Datos!BG13," - ")</f>
        <v>2.8485319852226281E-2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-2.616279069767442E-2</v>
      </c>
      <c r="C16" s="456">
        <f>IF(ISNUMBER(
   IF(D_I="SI",(Datos!J16-Datos!T16)/Datos!T16,(Datos!J16+Datos!AD16-(Datos!T16+Datos!AL16))/(Datos!T16+Datos!AL16))
     ),IF(D_I="SI",(Datos!J16-Datos!T16)/Datos!T16,(Datos!J16+Datos!AD16-(Datos!T16+Datos!AL16))/(Datos!T16+Datos!AL16))," - ")</f>
        <v>6.25E-2</v>
      </c>
      <c r="D16" s="456">
        <f>IF(ISNUMBER(
   IF(D_I="SI",(Datos!K16-Datos!U16)/Datos!U16,(Datos!K16+Datos!AE16-(Datos!U16+Datos!AM16))/(Datos!U16+Datos!AM16))
     ),IF(D_I="SI",(Datos!K16-Datos!U16)/Datos!U16,(Datos!K16+Datos!AE16-(Datos!U16+Datos!AM16))/(Datos!U16+Datos!AM16))," - ")</f>
        <v>3.6117381489841983E-2</v>
      </c>
      <c r="E16" s="456">
        <f>IF(ISNUMBER(
   IF(D_I="SI",(Datos!L16-Datos!V16)/Datos!V16,(Datos!L16+Datos!AF16-(Datos!V16+Datos!AN16))/(Datos!V16+Datos!AN16))
     ),IF(D_I="SI",(Datos!L16-Datos!V16)/Datos!V16,(Datos!L16+Datos!AF16-(Datos!V16+Datos!AN16))/(Datos!V16+Datos!AN16))," - ")</f>
        <v>1.3979496738117428E-2</v>
      </c>
      <c r="F16" s="456">
        <f>IF(ISNUMBER((Datos!M16-Datos!W16)/Datos!W16),(Datos!M16-Datos!W16)/Datos!W16," - ")</f>
        <v>0.38541666666666669</v>
      </c>
      <c r="G16" s="457">
        <f>IF(ISNUMBER((Datos!N16-Datos!X16)/Datos!X16),(Datos!N16-Datos!X16)/Datos!X16," - ")</f>
        <v>1.4263074484944533E-2</v>
      </c>
      <c r="H16" s="455">
        <f>IF(ISNUMBER(((NºAsuntos!G16/NºAsuntos!E16)-Datos!BD16)/Datos!BD16),((NºAsuntos!G16/NºAsuntos!E16)-Datos!BD16)/Datos!BD16," - ")</f>
        <v>-2.483069977426643E-2</v>
      </c>
      <c r="I16" s="456">
        <f>IF(ISNUMBER(((NºAsuntos!I16/NºAsuntos!G16)-Datos!BE16)/Datos!BE16),((NºAsuntos!I16/NºAsuntos!G16)-Datos!BE16)/Datos!BE16," - ")</f>
        <v>-2.1366193779987001E-2</v>
      </c>
      <c r="J16" s="461">
        <f>IF(ISNUMBER((('Resol  Asuntos'!D16/NºAsuntos!G16)-Datos!BF16)/Datos!BF16),(('Resol  Asuntos'!D16/NºAsuntos!G16)-Datos!BF16)/Datos!BF16," - ")</f>
        <v>0.33712327523602037</v>
      </c>
      <c r="K16" s="462">
        <f>IF(ISNUMBER((((NºAsuntos!C16+NºAsuntos!E16)/NºAsuntos!G16)-Datos!BG16)/Datos!BG16),(((NºAsuntos!C16+NºAsuntos!E16)/NºAsuntos!G16)-Datos!BG16)/Datos!BG16," - ")</f>
        <v>-1.9593392912720626E-2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0.21686746987951808</v>
      </c>
      <c r="C17" s="456">
        <f>IF(ISNUMBER(
   IF(D_I="SI",(Datos!J17-Datos!T17)/Datos!T17,(Datos!J17+Datos!AD17-(Datos!T17+Datos!AL17))/(Datos!T17+Datos!AL17))
     ),IF(D_I="SI",(Datos!J17-Datos!T17)/Datos!T17,(Datos!J17+Datos!AD17-(Datos!T17+Datos!AL17))/(Datos!T17+Datos!AL17))," - ")</f>
        <v>-0.18461538461538463</v>
      </c>
      <c r="D17" s="456">
        <f>IF(ISNUMBER(
   IF(D_I="SI",(Datos!K17-Datos!U17)/Datos!U17,(Datos!K17+Datos!AE17-(Datos!U17+Datos!AM17))/(Datos!U17+Datos!AM17))
     ),IF(D_I="SI",(Datos!K17-Datos!U17)/Datos!U17,(Datos!K17+Datos!AE17-(Datos!U17+Datos!AM17))/(Datos!U17+Datos!AM17))," - ")</f>
        <v>-5.2631578947368418E-2</v>
      </c>
      <c r="E17" s="456">
        <f>IF(ISNUMBER(
   IF(D_I="SI",(Datos!L17-Datos!V17)/Datos!V17,(Datos!L17+Datos!AF17-(Datos!V17+Datos!AN17))/(Datos!V17+Datos!AN17))
     ),IF(D_I="SI",(Datos!L17-Datos!V17)/Datos!V17,(Datos!L17+Datos!AF17-(Datos!V17+Datos!AN17))/(Datos!V17+Datos!AN17))," - ")</f>
        <v>0.15517241379310345</v>
      </c>
      <c r="F17" s="456">
        <f>IF(ISNUMBER((Datos!M17-Datos!W17)/Datos!W17),(Datos!M17-Datos!W17)/Datos!W17," - ")</f>
        <v>5</v>
      </c>
      <c r="G17" s="457">
        <f>IF(ISNUMBER((Datos!N17-Datos!X17)/Datos!X17),(Datos!N17-Datos!X17)/Datos!X17," - ")</f>
        <v>0.93333333333333335</v>
      </c>
      <c r="H17" s="455">
        <f>IF(ISNUMBER(((NºAsuntos!G17/NºAsuntos!E17)-Datos!BD17)/Datos!BD17),((NºAsuntos!G17/NºAsuntos!E17)-Datos!BD17)/Datos!BD17," - ")</f>
        <v>0.16186693147964251</v>
      </c>
      <c r="I17" s="456">
        <f>IF(ISNUMBER(((NºAsuntos!I17/NºAsuntos!G17)-Datos!BE17)/Datos!BE17),((NºAsuntos!I17/NºAsuntos!G17)-Datos!BE17)/Datos!BE17," - ")</f>
        <v>0.21934865900383138</v>
      </c>
      <c r="J17" s="461">
        <f>IF(ISNUMBER((('Resol  Asuntos'!D17/NºAsuntos!G17)-Datos!BF17)/Datos!BF17),(('Resol  Asuntos'!D17/NºAsuntos!G17)-Datos!BF17)/Datos!BF17," - ")</f>
        <v>5.333333333333333</v>
      </c>
      <c r="K17" s="462">
        <f>IF(ISNUMBER((((NºAsuntos!C17+NºAsuntos!E17)/NºAsuntos!G17)-Datos!BG17)/Datos!BG17),(((NºAsuntos!C17+NºAsuntos!E17)/NºAsuntos!G17)-Datos!BG17)/Datos!BG17," - ")</f>
        <v>0.16522366522366533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7.5125208681135229E-3</v>
      </c>
      <c r="C18" s="855">
        <f>IF(ISNUMBER(
   IF(Criterios!B14="SI",(Datos!J18-Datos!T18)/Datos!T18,(Datos!J18+Datos!AD18-(Datos!T18+Datos!AL18))/(Datos!T18+Datos!AL18))
     ),IF(Criterios!B14="SI",(Datos!J18-Datos!T18)/Datos!T18,(Datos!J18+Datos!AD18-(Datos!T18+Datos!AL18))/(Datos!T18+Datos!AL18))," - ")</f>
        <v>4.632426988922457E-2</v>
      </c>
      <c r="D18" s="855">
        <f>IF(ISNUMBER(
   IF(Criterios!B14="SI",(Datos!K18-Datos!U18)/Datos!U18,(Datos!K18+Datos!AE18-(Datos!U18+Datos!AM18))/(Datos!U18+Datos!AM18))
     ),IF(Criterios!B14="SI",(Datos!K18-Datos!U18)/Datos!U18,(Datos!K18+Datos!AE18-(Datos!U18+Datos!AM18))/(Datos!U18+Datos!AM18))," - ")</f>
        <v>3.0752916224814422E-2</v>
      </c>
      <c r="E18" s="855">
        <f>IF(ISNUMBER(
   IF(Criterios!B14="SI",(Datos!L18-Datos!V18)/Datos!V18,(Datos!L18+Datos!AF18-(Datos!V18+Datos!AN18))/(Datos!V18+Datos!AN18))
     ),IF(Criterios!B14="SI",(Datos!L18-Datos!V18)/Datos!V18,(Datos!L18+Datos!AF18-(Datos!V18+Datos!AN18))/(Datos!V18+Datos!AN18))," - ")</f>
        <v>3.3680834001603849E-2</v>
      </c>
      <c r="F18" s="856">
        <f>IF(ISNUMBER((Datos!M18-Datos!W18)/Datos!W18),(Datos!M18-Datos!W18)/Datos!W18," - ")</f>
        <v>0.4329896907216495</v>
      </c>
      <c r="G18" s="857">
        <f>IF(ISNUMBER((Datos!N18-Datos!X18)/Datos!X18),(Datos!N18-Datos!X18)/Datos!X18," - ")</f>
        <v>5.5975794251134643E-2</v>
      </c>
      <c r="H18" s="857">
        <f>IF(ISNUMBER(((NºAsuntos!G18/NºAsuntos!E18)-Datos!BD18)/Datos!BD18),((NºAsuntos!G18/NºAsuntos!E18)-Datos!BD18)/Datos!BD18," - ")</f>
        <v>-1.4881957833262056E-2</v>
      </c>
      <c r="I18" s="857">
        <f>IF(ISNUMBER(((NºAsuntos!I18/NºAsuntos!G18)-Datos!BE18)/Datos!BE18),((NºAsuntos!I18/NºAsuntos!G18)-Datos!BE18)/Datos!BE18," - ")</f>
        <v>2.8405622052598018E-3</v>
      </c>
      <c r="J18" s="857">
        <f>IF(ISNUMBER((('Resol  Asuntos'!D18/NºAsuntos!G18)-Datos!BF18)/Datos!BF18),(('Resol  Asuntos'!D18/NºAsuntos!G18)-Datos!BF18)/Datos!BF18," - ")</f>
        <v>0.39023588307666179</v>
      </c>
      <c r="K18" s="857">
        <f>IF(ISNUMBER((((NºAsuntos!C18+NºAsuntos!E18)/NºAsuntos!G18)-Datos!BG18)/Datos!BG18),(((NºAsuntos!C18+NºAsuntos!E18)/NºAsuntos!G18)-Datos!BG18)/Datos!BG18," - ")</f>
        <v>-5.4816467667017869E-3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0.12065439672801637</v>
      </c>
      <c r="C19" s="802">
        <f>IF(ISNUMBER(
   IF(J_V="SI",(Datos!J19-Datos!T19)/Datos!T19,(Datos!J19+Datos!Z19-(Datos!T19+Datos!AH19))/(Datos!T19+Datos!AH19))
     ),IF(J_V="SI",(Datos!J19-Datos!T19)/Datos!T19,(Datos!J19+Datos!Z19-(Datos!T19+Datos!AH19))/(Datos!T19+Datos!AH19))," - ")</f>
        <v>-4.8600883652430045E-2</v>
      </c>
      <c r="D19" s="802">
        <f>IF(ISNUMBER(
   IF(J_V="SI",(Datos!K19-Datos!U19)/Datos!U19,(Datos!K19+Datos!AA19-(Datos!U19+Datos!AI19))/(Datos!U19+Datos!AI19))
     ),IF(J_V="SI",(Datos!K19-Datos!U19)/Datos!U19,(Datos!K19+Datos!AA19-(Datos!U19+Datos!AI19))/(Datos!U19+Datos!AI19))," - ")</f>
        <v>3.6441586280814578E-2</v>
      </c>
      <c r="E19" s="802">
        <f>IF(ISNUMBER(
   IF(J_V="SI",(Datos!L19-Datos!V19)/Datos!V19,(Datos!L19+Datos!AB19-(Datos!V19+Datos!AJ19))/(Datos!V19+Datos!AJ19))
     ),IF(J_V="SI",(Datos!L19-Datos!V19)/Datos!V19,(Datos!L19+Datos!AB19-(Datos!V19+Datos!AJ19))/(Datos!V19+Datos!AJ19))," - ")</f>
        <v>6.5399484536082478E-2</v>
      </c>
      <c r="F19" s="803">
        <f>IF(ISNUMBER((Datos!M19-Datos!W19)/Datos!W19),(Datos!M19-Datos!W19)/Datos!W19," - ")</f>
        <v>1.0600706713780919E-2</v>
      </c>
      <c r="G19" s="804">
        <f>IF(ISNUMBER((Datos!N19-Datos!X19)/Datos!X19),(Datos!N19-Datos!X19)/Datos!X19," - ")</f>
        <v>1.5356820234869015E-2</v>
      </c>
      <c r="H19" s="805">
        <f>IF(ISNUMBER((Tasas!B19-Datos!BD19)/Datos!BD19),(Tasas!B19-Datos!BD19)/Datos!BD19," - ")</f>
        <v>8.9386744713116306E-2</v>
      </c>
      <c r="I19" s="806">
        <f>IF(ISNUMBER((Tasas!C19-Datos!BE19)/Datos!BE19),(Tasas!C19-Datos!BE19)/Datos!BE19," - ")</f>
        <v>2.7939730167698986E-2</v>
      </c>
      <c r="J19" s="807">
        <f>IF(ISNUMBER((Tasas!D19-Datos!BF19)/Datos!BF19),(Tasas!D19-Datos!BF19)/Datos!BF19," - ")</f>
        <v>-0.49460777071945639</v>
      </c>
      <c r="K19" s="807">
        <f>IF(ISNUMBER((Tasas!E19-Datos!BG19)/Datos!BG19),(Tasas!E19-Datos!BG19)/Datos!BG19," - ")</f>
        <v>1.4333600238154874E-2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q8dABfuMKkQjQnBFDE+jkm0/WD2aUqkmaYOgjmF9WzZuh7u+4nj/f0FBINgnaOFXpDtAFV24pQwi9GpnAjuOg==" saltValue="eqXu0vLhYsn6MRJKd1Tw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ESPLUGUES DE LLOBREGAT</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1.25</v>
      </c>
      <c r="C10" s="443">
        <f>IF(ISNUMBER(NºAsuntos!I10/NºAsuntos!G10),NºAsuntos!I10/NºAsuntos!G10," - ")</f>
        <v>3.2</v>
      </c>
      <c r="D10" s="444">
        <f>IF(ISNUMBER('Resol  Asuntos'!D10/NºAsuntos!G10),'Resol  Asuntos'!D10/NºAsuntos!G10," - ")</f>
        <v>0.3</v>
      </c>
      <c r="E10" s="445">
        <f>IF(ISNUMBER((NºAsuntos!C10+NºAsuntos!E10)/NºAsuntos!G10),(NºAsuntos!C10+NºAsuntos!E10)/NºAsuntos!G10," - ")</f>
        <v>4.2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1.0684624017957352</v>
      </c>
      <c r="C12" s="443">
        <f>IF(ISNUMBER(NºAsuntos!I12/NºAsuntos!G12),NºAsuntos!I12/NºAsuntos!G12," - ")</f>
        <v>2.0861344537815127</v>
      </c>
      <c r="D12" s="444">
        <f>IF(ISNUMBER('Resol  Asuntos'!D12/NºAsuntos!G12),'Resol  Asuntos'!D12/NºAsuntos!G12," - ")</f>
        <v>0.15126050420168066</v>
      </c>
      <c r="E12" s="445">
        <f>IF(ISNUMBER((NºAsuntos!C12+NºAsuntos!E12)/NºAsuntos!G12),(NºAsuntos!C12+NºAsuntos!E12)/NºAsuntos!G12," - ")</f>
        <v>3.0861344537815127</v>
      </c>
      <c r="G12" s="463"/>
    </row>
    <row r="13" spans="1:7" ht="14.25" thickTop="1" thickBot="1">
      <c r="A13" s="848" t="str">
        <f>Datos!A13</f>
        <v>TOTAL</v>
      </c>
      <c r="B13" s="858">
        <f>IF(ISNUMBER(NºAsuntos!G13/NºAsuntos!E13),NºAsuntos!G13/NºAsuntos!E13," - ")</f>
        <v>1.0700778642936597</v>
      </c>
      <c r="C13" s="859">
        <f>IF(ISNUMBER(NºAsuntos!I13/NºAsuntos!G13),NºAsuntos!I13/NºAsuntos!G13," - ")</f>
        <v>2.0977130977130978</v>
      </c>
      <c r="D13" s="860">
        <f>IF(ISNUMBER('Resol  Asuntos'!D13/NºAsuntos!G13),'Resol  Asuntos'!D13/NºAsuntos!G13," - ")</f>
        <v>0.15280665280665282</v>
      </c>
      <c r="E13" s="861">
        <f>IF(ISNUMBER((NºAsuntos!C13+NºAsuntos!E13)/NºAsuntos!G13),(NºAsuntos!C13+NºAsuntos!E13)/NºAsuntos!G13," - ")</f>
        <v>3.0977130977130978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0.93103448275862066</v>
      </c>
      <c r="C16" s="443">
        <f>IF(ISNUMBER(NºAsuntos!I16/NºAsuntos!G16),NºAsuntos!I16/NºAsuntos!G16," - ")</f>
        <v>1.1851851851851851</v>
      </c>
      <c r="D16" s="444">
        <f>IF(ISNUMBER('Resol  Asuntos'!D16/NºAsuntos!G16),'Resol  Asuntos'!D16/NºAsuntos!G16," - ")</f>
        <v>0.144880174291939</v>
      </c>
      <c r="E16" s="445">
        <f>IF(ISNUMBER((NºAsuntos!C16+NºAsuntos!E16)/NºAsuntos!G16),(NºAsuntos!C16+NºAsuntos!E16)/NºAsuntos!G16," - ")</f>
        <v>2.1688453159041394</v>
      </c>
      <c r="G16" s="463"/>
    </row>
    <row r="17" spans="1:7" ht="13.5" thickBot="1">
      <c r="A17" s="402" t="str">
        <f>Datos!A17</f>
        <v>Jdos. Violencia contra la mujer</v>
      </c>
      <c r="B17" s="442">
        <f>IF(ISNUMBER(NºAsuntos!G17/NºAsuntos!E17),NºAsuntos!G17/NºAsuntos!E17," - ")</f>
        <v>1.0188679245283019</v>
      </c>
      <c r="C17" s="443">
        <f>IF(ISNUMBER(NºAsuntos!I17/NºAsuntos!G17),NºAsuntos!I17/NºAsuntos!G17," - ")</f>
        <v>3.7222222222222223</v>
      </c>
      <c r="D17" s="444">
        <f>IF(ISNUMBER('Resol  Asuntos'!D17/NºAsuntos!G17),'Resol  Asuntos'!D17/NºAsuntos!G17," - ")</f>
        <v>0.1111111111111111</v>
      </c>
      <c r="E17" s="445">
        <f>IF(ISNUMBER((NºAsuntos!C17+NºAsuntos!E17)/NºAsuntos!G17),(NºAsuntos!C17+NºAsuntos!E17)/NºAsuntos!G17," - ")</f>
        <v>4.7222222222222223</v>
      </c>
      <c r="G17" s="463"/>
    </row>
    <row r="18" spans="1:7" ht="14.25" thickTop="1" thickBot="1">
      <c r="A18" s="848" t="str">
        <f>Datos!A18</f>
        <v>TOTAL</v>
      </c>
      <c r="B18" s="858">
        <f>IF(ISNUMBER(NºAsuntos!G18/NºAsuntos!E18),NºAsuntos!G18/NºAsuntos!E18," - ")</f>
        <v>0.93551491819056787</v>
      </c>
      <c r="C18" s="859">
        <f>IF(ISNUMBER(NºAsuntos!I18/NºAsuntos!G18),NºAsuntos!I18/NºAsuntos!G18," - ")</f>
        <v>1.3261316872427984</v>
      </c>
      <c r="D18" s="862">
        <f>IF(ISNUMBER('Resol  Asuntos'!D18/NºAsuntos!G18),'Resol  Asuntos'!D18/NºAsuntos!G18," - ")</f>
        <v>0.14300411522633744</v>
      </c>
      <c r="E18" s="861">
        <f>IF(ISNUMBER((NºAsuntos!C18+NºAsuntos!E18)/NºAsuntos!G18),(NºAsuntos!C18+NºAsuntos!E18)/NºAsuntos!G18," - ")</f>
        <v>2.3106995884773665</v>
      </c>
      <c r="G18" s="463"/>
    </row>
    <row r="19" spans="1:7" ht="15.75" customHeight="1" thickTop="1" thickBot="1">
      <c r="A19" s="793" t="str">
        <f>Datos!A19</f>
        <v>TOTAL JURISDICCIONES</v>
      </c>
      <c r="B19" s="808">
        <f>IF(ISNUMBER(NºAsuntos!G19/NºAsuntos!E19),NºAsuntos!G19/NºAsuntos!E19," - ")</f>
        <v>0.99793601651186792</v>
      </c>
      <c r="C19" s="809">
        <f>IF(ISNUMBER(NºAsuntos!I19/NºAsuntos!G19),NºAsuntos!I19/NºAsuntos!G19," - ")</f>
        <v>1.7099276111685626</v>
      </c>
      <c r="D19" s="810">
        <f>IF(ISNUMBER('Resol  Asuntos'!D19/NºAsuntos!G19),'Resol  Asuntos'!D19/NºAsuntos!G19," - ")</f>
        <v>0.14788004136504654</v>
      </c>
      <c r="E19" s="811">
        <f>IF(ISNUMBER((NºAsuntos!C19+NºAsuntos!E19)/NºAsuntos!G19),(NºAsuntos!C19+NºAsuntos!E19)/NºAsuntos!G19," - ")</f>
        <v>2.7021716649431231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1SLaH8hDpauRGj9i2pXLMebgIpAD4s9yWF1RSQw8iyQs4swq14SNFrDZS0GS+bcluUTn6AvP5SJu8OcGe8dNA==" saltValue="838GwULxATbfI+hwGPcD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ESPLUGUES DE LLOBREGAT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34</v>
      </c>
      <c r="G10" s="333">
        <f>IF(ISNUMBER(Datos!I10),Datos!I10," - ")</f>
        <v>34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1</v>
      </c>
      <c r="Y10" s="334">
        <f t="shared" ref="Y10:Y12" si="0">SUM(W10:X10)</f>
        <v>11</v>
      </c>
      <c r="Z10" s="335" t="str">
        <f>IF(ISNUMBER(Datos!CC10),Datos!CC10," - ")</f>
        <v xml:space="preserve"> - </v>
      </c>
      <c r="AA10" s="332">
        <f>IF(ISNUMBER(Datos!L10),Datos!L10,"-")</f>
        <v>32</v>
      </c>
      <c r="AB10" s="334">
        <f>IF(ISNUMBER(Datos!R10),Datos!R10," - ")</f>
        <v>8</v>
      </c>
      <c r="AC10" s="334">
        <f t="shared" ref="AC10:AC12" si="1">IF(ISNUMBER(AA10+AB10),AA10+AB10," - ")</f>
        <v>40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1.25</v>
      </c>
      <c r="AM10" s="260">
        <f>IF(ISNUMBER(((NºAsuntos!I10/NºAsuntos!G10)*11)/factor_trimestre),((NºAsuntos!I10/NºAsuntos!G10)*11)/factor_trimestre," - ")</f>
        <v>9.6000000000000014</v>
      </c>
      <c r="AN10" s="244">
        <f>IF(ISNUMBER('Resol  Asuntos'!D10/NºAsuntos!G10),'Resol  Asuntos'!D10/NºAsuntos!G10," - ")</f>
        <v>0.3</v>
      </c>
      <c r="AO10" s="245">
        <f>IF(ISNUMBER((NºAsuntos!C10+NºAsuntos!E10)/NºAsuntos!G10),(NºAsuntos!C10+NºAsuntos!E10)/NºAsuntos!G10," - ")</f>
        <v>4.2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111</v>
      </c>
      <c r="Y12" s="334">
        <f t="shared" si="0"/>
        <v>111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2325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144</v>
      </c>
      <c r="AJ12" s="229" t="str">
        <f>IF(ISNUMBER(Datos!BW12),Datos!BW12," - ")</f>
        <v xml:space="preserve"> - </v>
      </c>
      <c r="AK12" s="228" t="str">
        <f>IF(ISNUMBER(Datos!BX12),Datos!BX12," - ")</f>
        <v xml:space="preserve"> - </v>
      </c>
      <c r="AL12" s="243">
        <f>IF(ISNUMBER(NºAsuntos!G12/NºAsuntos!E12),NºAsuntos!G12/NºAsuntos!E12," - ")</f>
        <v>1.0684624017957352</v>
      </c>
      <c r="AM12" s="260">
        <f>IF(ISNUMBER(((NºAsuntos!I12/NºAsuntos!G12)*11)/factor_trimestre),((NºAsuntos!I12/NºAsuntos!G12)*11)/factor_trimestre," - ")</f>
        <v>6.2584033613445387</v>
      </c>
      <c r="AN12" s="244">
        <f>IF(ISNUMBER('Resol  Asuntos'!D12/NºAsuntos!G12),'Resol  Asuntos'!D12/NºAsuntos!G12," - ")</f>
        <v>0.15126050420168066</v>
      </c>
      <c r="AO12" s="245">
        <f>IF(ISNUMBER((NºAsuntos!C12+NºAsuntos!E12)/NºAsuntos!G12),(NºAsuntos!C12+NºAsuntos!E12)/NºAsuntos!G12," - ")</f>
        <v>3.0861344537815127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34</v>
      </c>
      <c r="G13" s="866">
        <f t="shared" si="3"/>
        <v>34</v>
      </c>
      <c r="H13" s="865">
        <f t="shared" si="3"/>
        <v>0</v>
      </c>
      <c r="I13" s="867">
        <f t="shared" si="3"/>
        <v>0</v>
      </c>
      <c r="J13" s="867">
        <f t="shared" si="3"/>
        <v>0</v>
      </c>
      <c r="K13" s="867">
        <f t="shared" si="3"/>
        <v>0</v>
      </c>
      <c r="L13" s="867">
        <f t="shared" si="3"/>
        <v>101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112</v>
      </c>
      <c r="Y13" s="868">
        <f t="shared" si="4"/>
        <v>122</v>
      </c>
      <c r="Z13" s="868">
        <f t="shared" si="4"/>
        <v>0</v>
      </c>
      <c r="AA13" s="868">
        <f t="shared" si="4"/>
        <v>32</v>
      </c>
      <c r="AB13" s="868">
        <f t="shared" si="4"/>
        <v>2333</v>
      </c>
      <c r="AC13" s="868">
        <f t="shared" si="4"/>
        <v>40</v>
      </c>
      <c r="AD13" s="868">
        <f t="shared" si="4"/>
        <v>0</v>
      </c>
      <c r="AE13" s="872">
        <f t="shared" si="4"/>
        <v>0</v>
      </c>
      <c r="AF13" s="865">
        <f t="shared" si="4"/>
        <v>0</v>
      </c>
      <c r="AG13" s="873">
        <f t="shared" si="4"/>
        <v>0</v>
      </c>
      <c r="AH13" s="870">
        <f t="shared" si="4"/>
        <v>0</v>
      </c>
      <c r="AI13" s="865">
        <f t="shared" si="4"/>
        <v>147</v>
      </c>
      <c r="AJ13" s="867">
        <f t="shared" si="4"/>
        <v>0</v>
      </c>
      <c r="AK13" s="870">
        <f>SUBTOTAL(9,AK9:AK12)</f>
        <v>0</v>
      </c>
      <c r="AL13" s="874">
        <f>IF(ISNUMBER(NºAsuntos!G13/NºAsuntos!E13),NºAsuntos!G13/NºAsuntos!E13," - ")</f>
        <v>1.0700778642936597</v>
      </c>
      <c r="AM13" s="874">
        <f>IF(ISNUMBER(((NºAsuntos!I13/NºAsuntos!G13)*11)/factor_trimestre),((NºAsuntos!I13/NºAsuntos!G13)*11)/factor_trimestre," - ")</f>
        <v>6.2931392931392942</v>
      </c>
      <c r="AN13" s="875">
        <f>IF(ISNUMBER('Resol  Asuntos'!D13/NºAsuntos!G13),'Resol  Asuntos'!D13/NºAsuntos!G13," - ")</f>
        <v>0.15280665280665282</v>
      </c>
      <c r="AO13" s="876">
        <f>IF(ISNUMBER((NºAsuntos!C13+NºAsuntos!E13)/NºAsuntos!G13),(NºAsuntos!C13+NºAsuntos!E13)/NºAsuntos!G13," - ")</f>
        <v>3.0977130977130978</v>
      </c>
      <c r="AP13" s="877" t="str">
        <f t="shared" si="2"/>
        <v xml:space="preserve"> - </v>
      </c>
      <c r="AQ13" s="877">
        <f>IF(ISNUMBER((H13-W13+K13)/(F13)),(H13-W13+K13)/(F13)," - ")</f>
        <v>-0.29411764705882354</v>
      </c>
      <c r="AR13" s="878">
        <f>IF(ISNUMBER((Datos!P13-Datos!Q13)/(Datos!R13-Datos!P13+Datos!Q13)),(Datos!P13-Datos!Q13)/(Datos!R13-Datos!P13+Datos!Q13)," - ")</f>
        <v>-4.6928327645051199E-3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1020</v>
      </c>
      <c r="G16" s="333">
        <f>IF(ISNUMBER(IF(D_I="SI",Datos!I16,Datos!I16+Datos!AC16)),IF(D_I="SI",Datos!I16,Datos!I16+Datos!AC16)," - ")</f>
        <v>1005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918</v>
      </c>
      <c r="X16" s="226">
        <f>IF(ISNUMBER(Datos!Q16),Datos!Q16," - ")</f>
        <v>27</v>
      </c>
      <c r="Y16" s="334">
        <f t="shared" ref="Y16:Y17" si="7">SUM(W16:X16)</f>
        <v>945</v>
      </c>
      <c r="Z16" s="335" t="str">
        <f>IF(ISNUMBER(Datos!CC16),Datos!CC16," - ")</f>
        <v xml:space="preserve"> - </v>
      </c>
      <c r="AA16" s="332">
        <f>IF(ISNUMBER(IF(D_I="SI",Datos!L16,Datos!L16+Datos!AF16)),IF(D_I="SI",Datos!L16,Datos!L16+Datos!AF16)," - ")</f>
        <v>1088</v>
      </c>
      <c r="AB16" s="334">
        <f>IF(ISNUMBER(Datos!R16),Datos!R16," - ")</f>
        <v>120</v>
      </c>
      <c r="AC16" s="334">
        <f t="shared" si="6"/>
        <v>1208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133</v>
      </c>
      <c r="AJ16" s="231" t="str">
        <f>IF(ISNUMBER(Datos!BW16),Datos!BW16," - ")</f>
        <v xml:space="preserve"> - </v>
      </c>
      <c r="AK16" s="232" t="str">
        <f>IF(ISNUMBER(Datos!BX16),Datos!BX16," - ")</f>
        <v xml:space="preserve"> - </v>
      </c>
      <c r="AL16" s="243">
        <f>IF(ISNUMBER(NºAsuntos!G16/NºAsuntos!E16),NºAsuntos!G16/NºAsuntos!E16," - ")</f>
        <v>0.93103448275862066</v>
      </c>
      <c r="AM16" s="260">
        <f>IF(ISNUMBER(((NºAsuntos!I16/NºAsuntos!G16)*11)/factor_trimestre),((NºAsuntos!I16/NºAsuntos!G16)*11)/factor_trimestre," - ")</f>
        <v>3.5555555555555554</v>
      </c>
      <c r="AN16" s="244">
        <f>IF(ISNUMBER('Resol  Asuntos'!D16/NºAsuntos!G16),'Resol  Asuntos'!D16/NºAsuntos!G16," - ")</f>
        <v>0.144880174291939</v>
      </c>
      <c r="AO16" s="245">
        <f>IF(ISNUMBER((NºAsuntos!C16+NºAsuntos!E16)/NºAsuntos!G16),(NºAsuntos!C16+NºAsuntos!E16)/NºAsuntos!G16," - ")</f>
        <v>2.1688453159041394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202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54</v>
      </c>
      <c r="X17" s="226">
        <f>IF(ISNUMBER(Datos!Q17),Datos!Q17," - ")</f>
        <v>4</v>
      </c>
      <c r="Y17" s="334">
        <f t="shared" si="7"/>
        <v>58</v>
      </c>
      <c r="Z17" s="335" t="str">
        <f>IF(ISNUMBER(Datos!CC17),Datos!CC17," - ")</f>
        <v xml:space="preserve"> - </v>
      </c>
      <c r="AA17" s="332">
        <f>IF(ISNUMBER(Datos!L17),Datos!L17,"-")</f>
        <v>201</v>
      </c>
      <c r="AB17" s="334">
        <f>IF(ISNUMBER(Datos!R17),Datos!R17," - ")</f>
        <v>0</v>
      </c>
      <c r="AC17" s="334">
        <f t="shared" si="6"/>
        <v>201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1.0188679245283019</v>
      </c>
      <c r="AM17" s="260">
        <f>IF(ISNUMBER(((NºAsuntos!I17/NºAsuntos!G17)*11)/factor_trimestre),((NºAsuntos!I17/NºAsuntos!G17)*11)/factor_trimestre," - ")</f>
        <v>11.166666666666666</v>
      </c>
      <c r="AN17" s="244">
        <f>IF(ISNUMBER('Resol  Asuntos'!D17/NºAsuntos!G17),'Resol  Asuntos'!D17/NºAsuntos!G17," - ")</f>
        <v>0.1111111111111111</v>
      </c>
      <c r="AO17" s="245">
        <f>IF(ISNUMBER((NºAsuntos!C17+NºAsuntos!E17)/NºAsuntos!G17),(NºAsuntos!C17+NºAsuntos!E17)/NºAsuntos!G17," - ")</f>
        <v>4.7222222222222223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1020</v>
      </c>
      <c r="G18" s="866">
        <f>SUBTOTAL(9,G15:G17)</f>
        <v>1207</v>
      </c>
      <c r="H18" s="865">
        <f t="shared" ref="H18:O18" si="10">SUBTOTAL(9,H14:H17)</f>
        <v>0</v>
      </c>
      <c r="I18" s="867">
        <f t="shared" si="10"/>
        <v>0</v>
      </c>
      <c r="J18" s="867">
        <f t="shared" si="10"/>
        <v>0</v>
      </c>
      <c r="K18" s="867">
        <f t="shared" si="10"/>
        <v>0</v>
      </c>
      <c r="L18" s="867">
        <f t="shared" si="10"/>
        <v>32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972</v>
      </c>
      <c r="X18" s="867">
        <f t="shared" si="11"/>
        <v>31</v>
      </c>
      <c r="Y18" s="868">
        <f t="shared" si="11"/>
        <v>1003</v>
      </c>
      <c r="Z18" s="868">
        <f t="shared" si="11"/>
        <v>0</v>
      </c>
      <c r="AA18" s="868">
        <f t="shared" si="11"/>
        <v>1289</v>
      </c>
      <c r="AB18" s="868">
        <f t="shared" si="11"/>
        <v>120</v>
      </c>
      <c r="AC18" s="868">
        <f t="shared" si="11"/>
        <v>1409</v>
      </c>
      <c r="AD18" s="868">
        <f t="shared" si="11"/>
        <v>0</v>
      </c>
      <c r="AE18" s="872">
        <f t="shared" si="11"/>
        <v>0</v>
      </c>
      <c r="AF18" s="865">
        <f t="shared" si="11"/>
        <v>0</v>
      </c>
      <c r="AG18" s="873">
        <f t="shared" si="11"/>
        <v>0</v>
      </c>
      <c r="AH18" s="870">
        <f t="shared" si="11"/>
        <v>0</v>
      </c>
      <c r="AI18" s="865">
        <f t="shared" si="11"/>
        <v>139</v>
      </c>
      <c r="AJ18" s="867">
        <f t="shared" si="11"/>
        <v>0</v>
      </c>
      <c r="AK18" s="870">
        <f t="shared" si="11"/>
        <v>0</v>
      </c>
      <c r="AL18" s="874">
        <f>IF(ISNUMBER(NºAsuntos!G18/NºAsuntos!E18),NºAsuntos!G18/NºAsuntos!E18," - ")</f>
        <v>0.93551491819056787</v>
      </c>
      <c r="AM18" s="874">
        <f>IF(ISNUMBER(((NºAsuntos!I18/NºAsuntos!G18)*11)/factor_trimestre),((NºAsuntos!I18/NºAsuntos!G18)*11)/factor_trimestre," - ")</f>
        <v>3.9783950617283956</v>
      </c>
      <c r="AN18" s="875">
        <f>IF(ISNUMBER('Resol  Asuntos'!D18/NºAsuntos!G18),'Resol  Asuntos'!D18/NºAsuntos!G18," - ")</f>
        <v>0.14300411522633744</v>
      </c>
      <c r="AO18" s="876">
        <f>IF(ISNUMBER((NºAsuntos!C18+NºAsuntos!E18)/NºAsuntos!G18),(NºAsuntos!C18+NºAsuntos!E18)/NºAsuntos!G18," - ")</f>
        <v>2.3106995884773665</v>
      </c>
      <c r="AP18" s="877" t="str">
        <f t="shared" si="2"/>
        <v xml:space="preserve"> - </v>
      </c>
      <c r="AQ18" s="877">
        <f>IF(ISNUMBER((H18-W18+K18)/(F18)),(H18-W18+K18)/(F18)," - ")</f>
        <v>-0.95294117647058818</v>
      </c>
      <c r="AR18" s="878">
        <f>IF(ISNUMBER((Datos!P18-Datos!Q18)/(Datos!R18-Datos!P18+Datos!Q18)),(Datos!P18-Datos!Q18)/(Datos!R18-Datos!P18+Datos!Q18)," - ")</f>
        <v>8.4033613445378148E-3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1054</v>
      </c>
      <c r="G19" s="821">
        <f t="shared" si="13"/>
        <v>1241</v>
      </c>
      <c r="H19" s="820">
        <f t="shared" si="13"/>
        <v>0</v>
      </c>
      <c r="I19" s="822">
        <f t="shared" si="13"/>
        <v>0</v>
      </c>
      <c r="J19" s="822">
        <f t="shared" si="13"/>
        <v>0</v>
      </c>
      <c r="K19" s="881">
        <f t="shared" si="13"/>
        <v>0</v>
      </c>
      <c r="L19" s="822">
        <f t="shared" si="13"/>
        <v>133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982</v>
      </c>
      <c r="X19" s="821">
        <f t="shared" si="14"/>
        <v>143</v>
      </c>
      <c r="Y19" s="828">
        <f t="shared" si="14"/>
        <v>1125</v>
      </c>
      <c r="Z19" s="828">
        <f t="shared" si="14"/>
        <v>0</v>
      </c>
      <c r="AA19" s="828">
        <f t="shared" si="14"/>
        <v>1321</v>
      </c>
      <c r="AB19" s="828">
        <f t="shared" si="14"/>
        <v>2453</v>
      </c>
      <c r="AC19" s="828">
        <f t="shared" si="14"/>
        <v>1449</v>
      </c>
      <c r="AD19" s="828">
        <f t="shared" si="14"/>
        <v>0</v>
      </c>
      <c r="AE19" s="830">
        <f t="shared" si="14"/>
        <v>0</v>
      </c>
      <c r="AF19" s="831">
        <f t="shared" si="14"/>
        <v>0</v>
      </c>
      <c r="AG19" s="832">
        <f t="shared" si="14"/>
        <v>0</v>
      </c>
      <c r="AH19" s="830">
        <f t="shared" si="14"/>
        <v>0</v>
      </c>
      <c r="AI19" s="820">
        <f t="shared" si="14"/>
        <v>286</v>
      </c>
      <c r="AJ19" s="820">
        <f t="shared" si="14"/>
        <v>0</v>
      </c>
      <c r="AK19" s="830">
        <f t="shared" si="14"/>
        <v>0</v>
      </c>
      <c r="AL19" s="884">
        <f>IF(ISNUMBER(NºAsuntos!G19/NºAsuntos!E19),NºAsuntos!G19/NºAsuntos!E19," - ")</f>
        <v>0.99793601651186792</v>
      </c>
      <c r="AM19" s="885">
        <f>IF(ISNUMBER(((NºAsuntos!I19/NºAsuntos!G19)*11)/factor_trimestre),((NºAsuntos!I19/NºAsuntos!G19)*11)/factor_trimestre," - ")</f>
        <v>5.1297828335056881</v>
      </c>
      <c r="AN19" s="885">
        <f>IF(ISNUMBER('Resol  Asuntos'!D19/NºAsuntos!G19),'Resol  Asuntos'!D19/NºAsuntos!G19," - ")</f>
        <v>0.14788004136504654</v>
      </c>
      <c r="AO19" s="886">
        <f>IF(ISNUMBER((NºAsuntos!C19+NºAsuntos!E19)/NºAsuntos!G19),(NºAsuntos!C19+NºAsuntos!E19)/NºAsuntos!G19," - ")</f>
        <v>2.7021716649431231</v>
      </c>
      <c r="AP19" s="887" t="str">
        <f t="shared" si="2"/>
        <v xml:space="preserve"> - </v>
      </c>
      <c r="AQ19" s="888">
        <f>IF(OR(ISNUMBER(FIND("01",Criterios!A8,1)),ISNUMBER(FIND("02",Criterios!A8,1)),ISNUMBER(FIND("03",Criterios!A8,1)),ISNUMBER(FIND("04",Criterios!A8,1))),(I19-W19+K19)/(F19-K19),(H19-W19+K19)/(F19-K19))</f>
        <v>-0.93168880455407965</v>
      </c>
      <c r="AR19" s="889">
        <f>IF(ISNUMBER((Datos!P19-Datos!Q19)/(Datos!R19-Datos!P19+Datos!Q19)),(Datos!P19-Datos!Q19)/(Datos!R19-Datos!P19+Datos!Q19)," - ")</f>
        <v>-4.0600893219650833E-3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496.4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569.26736542097103</v>
      </c>
      <c r="G21" s="253">
        <f>IF(ISNUMBER(STDEV(G8:G18)),STDEV(G8:G18),"-")</f>
        <v>565.2267686513087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504.76846177232591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70.525645453740211</v>
      </c>
      <c r="AJ21" s="252">
        <f t="shared" si="18"/>
        <v>0</v>
      </c>
      <c r="AK21" s="254">
        <f t="shared" si="18"/>
        <v>0</v>
      </c>
      <c r="AL21" s="249">
        <f t="shared" si="18"/>
        <v>0.11735397801616593</v>
      </c>
      <c r="AM21" s="250">
        <f t="shared" si="18"/>
        <v>3.0313506300165551</v>
      </c>
      <c r="AN21" s="250">
        <f t="shared" si="18"/>
        <v>6.6823127340376834E-2</v>
      </c>
      <c r="AO21" s="251">
        <f t="shared" si="18"/>
        <v>1.016852059835839</v>
      </c>
      <c r="AP21" s="291" t="str">
        <f t="shared" si="18"/>
        <v>-</v>
      </c>
      <c r="AQ21" s="292">
        <f t="shared" si="18"/>
        <v>0.46585858525231361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oXj8U4lKbEW0TJtZsko+aIU2JkWxzKIXG4ZuVkUSKKBKyzi9ysiS+/mjBx4VAc3is2BdnQMF0d02+GT7uCmSLA==" saltValue="3QL3H2KkQUeGSryWEpbb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ESPLUGUES DE LLOBREGAT</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0.13333333333333333</v>
      </c>
      <c r="E10" s="348">
        <f>IF(ISNUMBER((Datos!J10-Datos!T10)/Datos!T10),(Datos!J10-Datos!T10)/Datos!T10," - ")</f>
        <v>0.6</v>
      </c>
      <c r="F10" s="348">
        <f>IF(ISNUMBER((Datos!K10-Datos!U10)/Datos!U10),(Datos!K10-Datos!U10)/Datos!U10," - ")</f>
        <v>0.66666666666666663</v>
      </c>
      <c r="G10" s="349">
        <f>IF(ISNUMBER((Datos!L10-Datos!V10)/Datos!V10),(Datos!L10-Datos!V10)/Datos!V10," - ")</f>
        <v>0.10344827586206896</v>
      </c>
      <c r="H10" s="230">
        <f>IF(ISNUMBER((Datos!M10-Datos!W10)/Datos!W10),(Datos!M10-Datos!W10)/Datos!W10," - ")</f>
        <v>-0.25</v>
      </c>
      <c r="I10" s="350">
        <f>IF(ISNUMBER((Tasas!C10-Datos!BE10)/Datos!BE10),(Tasas!C10-Datos!BE10)/Datos!BE10," - ")</f>
        <v>-0.33793103448275852</v>
      </c>
      <c r="J10" s="349">
        <f>IF(ISNUMBER((Tasas!D10-Datos!BF10)/Datos!BF10),(Tasas!D10-Datos!BF10)/Datos!BF10," - ")</f>
        <v>-0.55000000000000004</v>
      </c>
      <c r="K10" s="351">
        <f>IF(ISNUMBER((Tasas!E10-Datos!BG10)/Datos!BG10),(Tasas!E10-Datos!BG10)/Datos!BG10," - ")</f>
        <v>-0.27999999999999992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-0.2087912087912088</v>
      </c>
      <c r="I12" s="350">
        <f>IF(ISNUMBER((Tasas!C12-Datos!BE12)/Datos!BE12),(Tasas!C12-Datos!BE12)/Datos!BE12," - ")</f>
        <v>4.6490861114686602E-2</v>
      </c>
      <c r="J12" s="349">
        <f>IF(ISNUMBER((Tasas!D12-Datos!BF12)/Datos!BF12),(Tasas!D12-Datos!BF12)/Datos!BF12," - ")</f>
        <v>-0.68830138797091878</v>
      </c>
      <c r="K12" s="351">
        <f>IF(ISNUMBER((Tasas!E12-Datos!BG12)/Datos!BG12),(Tasas!E12-Datos!BG12)/Datos!BG12," - ")</f>
        <v>3.0960034286938835E-2</v>
      </c>
      <c r="M12" t="e">
        <f>IF(Monitorios="SI",Datos!CE12,0)</f>
        <v>#REF!</v>
      </c>
      <c r="N12" t="e">
        <f>IF(Monitorios="SI",Datos!CF12,0)</f>
        <v>#REF!</v>
      </c>
      <c r="O12" t="e">
        <f>IF(Monitorios="SI",Datos!CG12,0)</f>
        <v>#REF!</v>
      </c>
      <c r="P12" t="e">
        <f>IF(Monitorios="SI",Datos!CH12,0)</f>
        <v>#REF!</v>
      </c>
      <c r="Q12">
        <f>IF(J_V="SI",0,Datos!AG12)</f>
        <v>28</v>
      </c>
      <c r="R12">
        <f>IF(J_V="SI",0,Datos!AH12)</f>
        <v>209</v>
      </c>
      <c r="S12">
        <f>IF(J_V="SI",0,Datos!AI12)</f>
        <v>181</v>
      </c>
      <c r="T12">
        <f>IF(J_V="SI",0,Datos!AJ12)</f>
        <v>56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-0.20967741935483872</v>
      </c>
      <c r="I13" s="357">
        <f>IF(ISNUMBER((Tasas!C13-Datos!BE13)/Datos!BE13),(Tasas!C13-Datos!BE13)/Datos!BE13," - ")</f>
        <v>4.2643612918249363E-2</v>
      </c>
      <c r="J13" s="355">
        <f>IF(ISNUMBER((Tasas!D13-Datos!BF13)/Datos!BF13),(Tasas!D13-Datos!BF13)/Datos!BF13," - ")</f>
        <v>-0.68587852886293876</v>
      </c>
      <c r="K13" s="358">
        <f>IF(ISNUMBER((Tasas!E13-Datos!BG13)/Datos!BG13),(Tasas!E13-Datos!BG13)/Datos!BG13," - ")</f>
        <v>2.8485319852226281E-2</v>
      </c>
      <c r="M13" t="e">
        <f>IF(Monitorios="SI",Datos!CE13,0)</f>
        <v>#REF!</v>
      </c>
      <c r="N13" t="e">
        <f>IF(Monitorios="SI",Datos!CF13,0)</f>
        <v>#REF!</v>
      </c>
      <c r="O13" t="e">
        <f>IF(Monitorios="SI",Datos!CG13,0)</f>
        <v>#REF!</v>
      </c>
      <c r="P13" t="e">
        <f>IF(Monitorios="SI",Datos!CH13,0)</f>
        <v>#REF!</v>
      </c>
      <c r="Q13">
        <f>IF(J_V="SI",0,Datos!AG13)</f>
        <v>28</v>
      </c>
      <c r="R13">
        <f>IF(J_V="SI",0,Datos!AH13)</f>
        <v>209</v>
      </c>
      <c r="S13">
        <f>IF(J_V="SI",0,Datos!AI13)</f>
        <v>181</v>
      </c>
      <c r="T13">
        <f>IF(J_V="SI",0,Datos!AJ13)</f>
        <v>56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-2.616279069767442E-2</v>
      </c>
      <c r="E16" s="348">
        <f>IF(ISNUMBER(
   IF(D_I="SI",(Datos!J16-Datos!T16)/Datos!T16,(Datos!J16+Datos!AD16-(Datos!T16+Datos!AL16))/(Datos!T16+Datos!AL16))
     ),IF(D_I="SI",(Datos!J16-Datos!T16)/Datos!T16,(Datos!J16+Datos!AD16-(Datos!T16+Datos!AL16))/(Datos!T16+Datos!AL16))," - ")</f>
        <v>6.25E-2</v>
      </c>
      <c r="F16" s="348">
        <f>IF(ISNUMBER(
   IF(D_I="SI",(Datos!K16-Datos!U16)/Datos!U16,(Datos!K16+Datos!AE16-(Datos!U16+Datos!AM16))/(Datos!U16+Datos!AM16))
     ),IF(D_I="SI",(Datos!K16-Datos!U16)/Datos!U16,(Datos!K16+Datos!AE16-(Datos!U16+Datos!AM16))/(Datos!U16+Datos!AM16))," - ")</f>
        <v>3.6117381489841983E-2</v>
      </c>
      <c r="G16" s="349">
        <f>IF(ISNUMBER(
   IF(D_I="SI",(Datos!L16-Datos!V16)/Datos!V16,(Datos!L16+Datos!AF16-(Datos!V16+Datos!AN16))/(Datos!V16+Datos!AN16))
     ),IF(D_I="SI",(Datos!L16-Datos!V16)/Datos!V16,(Datos!L16+Datos!AF16-(Datos!V16+Datos!AN16))/(Datos!V16+Datos!AN16))," - ")</f>
        <v>1.3979496738117428E-2</v>
      </c>
      <c r="H16" s="230">
        <f>IF(ISNUMBER((Datos!M16-Datos!W16)/Datos!W16),(Datos!M16-Datos!W16)/Datos!W16," - ")</f>
        <v>0.38541666666666669</v>
      </c>
      <c r="I16" s="350">
        <f>IF(ISNUMBER((Tasas!C16-Datos!BE16)/Datos!BE16),(Tasas!C16-Datos!BE16)/Datos!BE16," - ")</f>
        <v>-2.1366193779987001E-2</v>
      </c>
      <c r="J16" s="349">
        <f>IF(ISNUMBER((Tasas!D16-Datos!BF16)/Datos!BF16),(Tasas!D16-Datos!BF16)/Datos!BF16," - ")</f>
        <v>0.33712327523602037</v>
      </c>
      <c r="K16" s="351">
        <f>IF(ISNUMBER((Tasas!E16-Datos!BG16)/Datos!BG16),(Tasas!E16-Datos!BG16)/Datos!BG16," - ")</f>
        <v>-1.9593392912720626E-2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0.21686746987951808</v>
      </c>
      <c r="E17" s="348">
        <f>IF(ISNUMBER(
   IF(D_I="SI",(Datos!J17-Datos!T17)/Datos!T17,(Datos!J17+Datos!AD17-(Datos!T17+Datos!AL17))/(Datos!T17+Datos!AL17))
     ),IF(D_I="SI",(Datos!J17-Datos!T17)/Datos!T17,(Datos!J17+Datos!AD17-(Datos!T17+Datos!AL17))/(Datos!T17+Datos!AL17))," - ")</f>
        <v>-0.18461538461538463</v>
      </c>
      <c r="F17" s="348">
        <f>IF(ISNUMBER(
   IF(D_I="SI",(Datos!K17-Datos!U17)/Datos!U17,(Datos!K17+Datos!AE17-(Datos!U17+Datos!AM17))/(Datos!U17+Datos!AM17))
     ),IF(D_I="SI",(Datos!K17-Datos!U17)/Datos!U17,(Datos!K17+Datos!AE17-(Datos!U17+Datos!AM17))/(Datos!U17+Datos!AM17))," - ")</f>
        <v>-5.2631578947368418E-2</v>
      </c>
      <c r="G17" s="349">
        <f>IF(ISNUMBER(
   IF(D_I="SI",(Datos!L17-Datos!V17)/Datos!V17,(Datos!L17+Datos!AF17-(Datos!V17+Datos!AN17))/(Datos!V17+Datos!AN17))
     ),IF(D_I="SI",(Datos!L17-Datos!V17)/Datos!V17,(Datos!L17+Datos!AF17-(Datos!V17+Datos!AN17))/(Datos!V17+Datos!AN17))," - ")</f>
        <v>0.15517241379310345</v>
      </c>
      <c r="H17" s="230">
        <f>IF(ISNUMBER((Datos!M17-Datos!W17)/Datos!W17),(Datos!M17-Datos!W17)/Datos!W17," - ")</f>
        <v>5</v>
      </c>
      <c r="I17" s="350">
        <f>IF(ISNUMBER((Tasas!C17-Datos!BE17)/Datos!BE17),(Tasas!C17-Datos!BE17)/Datos!BE17," - ")</f>
        <v>0.21934865900383138</v>
      </c>
      <c r="J17" s="349">
        <f>IF(ISNUMBER((Tasas!D17-Datos!BF17)/Datos!BF17),(Tasas!D17-Datos!BF17)/Datos!BF17," - ")</f>
        <v>5.333333333333333</v>
      </c>
      <c r="K17" s="351">
        <f>IF(ISNUMBER((Tasas!E17-Datos!BG17)/Datos!BG17),(Tasas!E17-Datos!BG17)/Datos!BG17," - ")</f>
        <v>0.16522366522366533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7.5125208681135229E-3</v>
      </c>
      <c r="E18" s="354">
        <f>IF(ISNUMBER(
   IF(D_I="SI",(Datos!J18-Datos!T18)/Datos!T18,(Datos!J18+Datos!AD18-(Datos!T18+Datos!AL18))/(Datos!T18+Datos!AL18))
     ),IF(D_I="SI",(Datos!J18-Datos!T18)/Datos!T18,(Datos!J18+Datos!AD18-(Datos!T18+Datos!AL18))/(Datos!T18+Datos!AL18))," - ")</f>
        <v>4.632426988922457E-2</v>
      </c>
      <c r="F18" s="354">
        <f>IF(ISNUMBER(
   IF(D_I="SI",(Datos!K18-Datos!U18)/Datos!U18,(Datos!K18+Datos!AE18-(Datos!U18+Datos!AM18))/(Datos!U18+Datos!AM18))
     ),IF(D_I="SI",(Datos!K18-Datos!U18)/Datos!U18,(Datos!K18+Datos!AE18-(Datos!U18+Datos!AM18))/(Datos!U18+Datos!AM18))," - ")</f>
        <v>3.0752916224814422E-2</v>
      </c>
      <c r="G18" s="355">
        <f>IF(ISNUMBER(
   IF(D_I="SI",(Datos!L18-Datos!V18)/Datos!V18,(Datos!L18+Datos!AF18-(Datos!V18+Datos!AN18))/(Datos!V18+Datos!AN18))
     ),IF(D_I="SI",(Datos!L18-Datos!V18)/Datos!V18,(Datos!L18+Datos!AF18-(Datos!V18+Datos!AN18))/(Datos!V18+Datos!AN18))," - ")</f>
        <v>3.3680834001603849E-2</v>
      </c>
      <c r="H18" s="356">
        <f>IF(ISNUMBER((Datos!M18-Datos!W18)/Datos!W18),(Datos!M18-Datos!W18)/Datos!W18," - ")</f>
        <v>0.4329896907216495</v>
      </c>
      <c r="I18" s="357">
        <f>IF(ISNUMBER((Tasas!C18-Datos!BE18)/Datos!BE18),(Tasas!C18-Datos!BE18)/Datos!BE18," - ")</f>
        <v>2.8405622052598018E-3</v>
      </c>
      <c r="J18" s="355">
        <f>IF(ISNUMBER((Tasas!D18-Datos!BF18)/Datos!BF18),(Tasas!D18-Datos!BF18)/Datos!BF18," - ")</f>
        <v>0.39023588307666179</v>
      </c>
      <c r="K18" s="358">
        <f>IF(ISNUMBER((Tasas!E18-Datos!BG18)/Datos!BG18),(Tasas!E18-Datos!BG18)/Datos!BG18," - ")</f>
        <v>-5.4816467667017869E-3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0.12065439672801637</v>
      </c>
      <c r="E19" s="363">
        <f>IF(ISNUMBER(
   IF(J_V="SI",(Datos!J19-Datos!T19)/Datos!T19,(Datos!J19+Datos!Z19-(Datos!T19+Datos!AH19))/(Datos!T19+Datos!AH19))
     ),IF(J_V="SI",(Datos!J19-Datos!T19)/Datos!T19,(Datos!J19+Datos!Z19-(Datos!T19+Datos!AH19))/(Datos!T19+Datos!AH19))," - ")</f>
        <v>-4.8600883652430045E-2</v>
      </c>
      <c r="F19" s="363">
        <f>IF(ISNUMBER(
   IF(J_V="SI",(Datos!K19-Datos!U19)/Datos!U19,(Datos!K19+Datos!AA19-(Datos!U19+Datos!AI19))/(Datos!U19+Datos!AI19))
     ),IF(J_V="SI",(Datos!K19-Datos!U19)/Datos!U19,(Datos!K19+Datos!AA19-(Datos!U19+Datos!AI19))/(Datos!U19+Datos!AI19))," - ")</f>
        <v>3.6441586280814578E-2</v>
      </c>
      <c r="G19" s="364">
        <f>IF(ISNUMBER(
   IF(J_V="SI",(Datos!L19-Datos!V19)/Datos!V19,(Datos!L19+Datos!AB19-(Datos!V19+Datos!AJ19))/(Datos!V19+Datos!AJ19))
     ),IF(J_V="SI",(Datos!L19-Datos!V19)/Datos!V19,(Datos!L19+Datos!AB19-(Datos!V19+Datos!AJ19))/(Datos!V19+Datos!AJ19))," - ")</f>
        <v>6.5399484536082478E-2</v>
      </c>
      <c r="H19" s="365">
        <f>IF(ISNUMBER((Datos!M19-Datos!W19)/Datos!W19),(Datos!M19-Datos!W19)/Datos!W19," - ")</f>
        <v>1.0600706713780919E-2</v>
      </c>
      <c r="I19" s="362">
        <f>IF(ISNUMBER((Tasas!C19-Datos!BE19)/Datos!BE19),(Tasas!C19-Datos!BE19)/Datos!BE19," - ")</f>
        <v>2.7939730167698986E-2</v>
      </c>
      <c r="J19" s="363">
        <f>IF(ISNUMBER((Tasas!D19-Datos!BF19)/Datos!BF19),(Tasas!D19-Datos!BF19)/Datos!BF19," - ")</f>
        <v>-0.49460777071945639</v>
      </c>
      <c r="K19" s="364">
        <f>IF(ISNUMBER((Tasas!E19-Datos!BG19)/Datos!BG19),(Tasas!E19-Datos!BG19)/Datos!BG19," - ")</f>
        <v>1.4333600238154874E-2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0.11264807708067263</v>
      </c>
      <c r="E21" s="278">
        <f t="shared" si="1"/>
        <v>0.33238345795553947</v>
      </c>
      <c r="F21" s="278">
        <f t="shared" si="1"/>
        <v>0.33344499729875993</v>
      </c>
      <c r="G21" s="279">
        <f t="shared" si="1"/>
        <v>6.4955966689681788E-2</v>
      </c>
      <c r="H21" s="285">
        <f t="shared" si="1"/>
        <v>2.0525971206787093</v>
      </c>
      <c r="I21" s="277">
        <f t="shared" si="1"/>
        <v>0.18241277507262327</v>
      </c>
      <c r="J21" s="278">
        <f t="shared" si="1"/>
        <v>2.3283161026100223</v>
      </c>
      <c r="K21" s="279">
        <f t="shared" si="1"/>
        <v>0.14615418219582746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x07xWrZC77uRsaEu1MR8sccqZQ9A4P3uCoCrCJodTnWMRKGlQNObNA8WqZ8wLa1TyQJpUMLDVaqMlBsKmYC7Q==" saltValue="1WTkEnh5/eYA+374m9vN8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